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llace\Desktop\2020 BUDGET\"/>
    </mc:Choice>
  </mc:AlternateContent>
  <xr:revisionPtr revIDLastSave="0" documentId="13_ncr:1_{7ED1AB48-4F96-4F09-A3DB-6E2D49E31219}" xr6:coauthVersionLast="45" xr6:coauthVersionMax="45" xr10:uidLastSave="{00000000-0000-0000-0000-000000000000}"/>
  <bookViews>
    <workbookView xWindow="-28920" yWindow="-120" windowWidth="29040" windowHeight="15840" tabRatio="750" firstSheet="5" activeTab="9" xr2:uid="{00000000-000D-0000-FFFF-FFFF00000000}"/>
  </bookViews>
  <sheets>
    <sheet name=" Summary - General Fund" sheetId="2" r:id="rId1"/>
    <sheet name="Worksheet - General Fund (010)" sheetId="8" r:id="rId2"/>
    <sheet name="Summary - PS Bldg Fund (040)" sheetId="24" r:id="rId3"/>
    <sheet name="Summary - Water Fund" sheetId="14" r:id="rId4"/>
    <sheet name="Worksheet - Water Fund (020)" sheetId="13" r:id="rId5"/>
    <sheet name="Summary - Sewer Fund" sheetId="19" r:id="rId6"/>
    <sheet name="Worksheet - Sewer Fund (021)" sheetId="18" r:id="rId7"/>
    <sheet name="Summary - Garbage Fund" sheetId="22" r:id="rId8"/>
    <sheet name="Worksheet - Garbage Fund (022)" sheetId="23" r:id="rId9"/>
    <sheet name="Summary - Cap Impr Fund" sheetId="10" r:id="rId10"/>
    <sheet name="Worksheet - Cap Impr Fund (030)" sheetId="9" r:id="rId11"/>
    <sheet name="Summary - Cons Trust Fund" sheetId="12" r:id="rId12"/>
    <sheet name="Worksheet - Cons Trust Fu (080)" sheetId="11" r:id="rId13"/>
    <sheet name="Summary - Grand Theater" sheetId="25" r:id="rId14"/>
    <sheet name="Worksheet - Grant Theater (070)" sheetId="26" r:id="rId15"/>
    <sheet name="Community Development (110)" sheetId="28" r:id="rId16"/>
  </sheets>
  <externalReferences>
    <externalReference r:id="rId17"/>
    <externalReference r:id="rId18"/>
  </externalReferences>
  <definedNames>
    <definedName name="_xlnm.Print_Titles" localSheetId="0">' Summary - General Fund'!$4:$5</definedName>
    <definedName name="_xlnm.Print_Titles" localSheetId="9">'Summary - Cap Impr Fund'!$1:$5</definedName>
    <definedName name="_xlnm.Print_Titles" localSheetId="3">'Summary - Water Fund'!$4:$5</definedName>
    <definedName name="_xlnm.Print_Titles" localSheetId="10">'Worksheet - Cap Impr Fund (030)'!#REF!</definedName>
    <definedName name="_xlnm.Print_Titles" localSheetId="8">'Worksheet - Garbage Fund (022)'!$1:$5</definedName>
    <definedName name="_xlnm.Print_Titles" localSheetId="1">'Worksheet - General Fund (010)'!$1:$5</definedName>
    <definedName name="_xlnm.Print_Titles" localSheetId="6">'Worksheet - Sewer Fund (021)'!$1:$5</definedName>
    <definedName name="_xlnm.Print_Titles" localSheetId="4">'Worksheet - Water Fund (020)'!$1:$5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25" l="1"/>
  <c r="G19" i="25"/>
  <c r="I13" i="26"/>
  <c r="G9" i="25"/>
  <c r="G8" i="25"/>
  <c r="G30" i="25"/>
  <c r="E41" i="14"/>
  <c r="E287" i="2"/>
  <c r="C287" i="2"/>
  <c r="G38" i="19"/>
  <c r="C32" i="28" l="1"/>
  <c r="G28" i="28"/>
  <c r="F28" i="28"/>
  <c r="E28" i="28"/>
  <c r="C28" i="28"/>
  <c r="B28" i="28"/>
  <c r="E22" i="28"/>
  <c r="D22" i="28"/>
  <c r="C22" i="28"/>
  <c r="F21" i="28"/>
  <c r="E21" i="28"/>
  <c r="D21" i="28"/>
  <c r="C21" i="28"/>
  <c r="G22" i="28"/>
  <c r="F22" i="28"/>
  <c r="B22" i="28"/>
  <c r="B11" i="28"/>
  <c r="C11" i="28"/>
  <c r="D9" i="28"/>
  <c r="G11" i="28"/>
  <c r="D8" i="28"/>
  <c r="D11" i="28" s="1"/>
  <c r="D24" i="28" s="1"/>
  <c r="D30" i="28" s="1"/>
  <c r="E11" i="28" l="1"/>
  <c r="E24" i="28" s="1"/>
  <c r="E30" i="28" s="1"/>
  <c r="E33" i="28" s="1"/>
  <c r="F11" i="28"/>
  <c r="F24" i="28" s="1"/>
  <c r="F30" i="28" s="1"/>
  <c r="F33" i="28" s="1"/>
  <c r="G24" i="28"/>
  <c r="G30" i="28" s="1"/>
  <c r="G33" i="28" s="1"/>
  <c r="B24" i="28"/>
  <c r="B30" i="28" s="1"/>
  <c r="B33" i="28" s="1"/>
  <c r="C24" i="28"/>
  <c r="C30" i="28" s="1"/>
  <c r="C33" i="28" s="1"/>
  <c r="E8" i="10"/>
  <c r="H526" i="8" l="1"/>
  <c r="H165" i="8"/>
  <c r="H72" i="8"/>
  <c r="I68" i="26" l="1"/>
  <c r="H68" i="26"/>
  <c r="G68" i="26"/>
  <c r="F68" i="26"/>
  <c r="E68" i="26"/>
  <c r="I64" i="26"/>
  <c r="G18" i="25" s="1"/>
  <c r="G64" i="26"/>
  <c r="F64" i="26"/>
  <c r="E64" i="26"/>
  <c r="H63" i="26"/>
  <c r="H64" i="26" s="1"/>
  <c r="I60" i="26"/>
  <c r="G17" i="25" s="1"/>
  <c r="G60" i="26"/>
  <c r="F60" i="26"/>
  <c r="E60" i="26"/>
  <c r="H59" i="26"/>
  <c r="H58" i="26"/>
  <c r="H57" i="26"/>
  <c r="H56" i="26"/>
  <c r="H55" i="26"/>
  <c r="I52" i="26"/>
  <c r="G16" i="25" s="1"/>
  <c r="G52" i="26"/>
  <c r="E52" i="26"/>
  <c r="H51" i="26"/>
  <c r="H50" i="26"/>
  <c r="H49" i="26"/>
  <c r="H48" i="26"/>
  <c r="H47" i="26"/>
  <c r="H46" i="26"/>
  <c r="H45" i="26"/>
  <c r="H44" i="26"/>
  <c r="H43" i="26"/>
  <c r="H42" i="26"/>
  <c r="H41" i="26"/>
  <c r="F38" i="26"/>
  <c r="F70" i="26" s="1"/>
  <c r="G36" i="26"/>
  <c r="F36" i="26"/>
  <c r="E36" i="26"/>
  <c r="I32" i="26"/>
  <c r="I35" i="26" s="1"/>
  <c r="I36" i="26" s="1"/>
  <c r="G32" i="26"/>
  <c r="G38" i="26" s="1"/>
  <c r="E32" i="26"/>
  <c r="E38" i="26" s="1"/>
  <c r="E70" i="26" s="1"/>
  <c r="H31" i="26"/>
  <c r="H32" i="26" s="1"/>
  <c r="E23" i="26"/>
  <c r="I21" i="26"/>
  <c r="G10" i="25" s="1"/>
  <c r="G11" i="25" s="1"/>
  <c r="G21" i="26"/>
  <c r="F21" i="26"/>
  <c r="E21" i="26"/>
  <c r="H20" i="26"/>
  <c r="H21" i="26" s="1"/>
  <c r="I17" i="26"/>
  <c r="I23" i="26" s="1"/>
  <c r="G17" i="26"/>
  <c r="F17" i="26"/>
  <c r="E17" i="26"/>
  <c r="H16" i="26"/>
  <c r="H17" i="26" s="1"/>
  <c r="G13" i="26"/>
  <c r="F13" i="26"/>
  <c r="F23" i="26" s="1"/>
  <c r="E13" i="26"/>
  <c r="H12" i="26"/>
  <c r="H11" i="26"/>
  <c r="H10" i="26"/>
  <c r="H9" i="26"/>
  <c r="H13" i="26" s="1"/>
  <c r="H23" i="26" s="1"/>
  <c r="C8" i="25"/>
  <c r="C11" i="25" s="1"/>
  <c r="C22" i="25" s="1"/>
  <c r="C28" i="25" s="1"/>
  <c r="C31" i="25" s="1"/>
  <c r="D8" i="25"/>
  <c r="E8" i="25"/>
  <c r="F8" i="25"/>
  <c r="C9" i="25"/>
  <c r="D9" i="25"/>
  <c r="D11" i="25" s="1"/>
  <c r="D22" i="25" s="1"/>
  <c r="D28" i="25" s="1"/>
  <c r="E9" i="25"/>
  <c r="F9" i="25"/>
  <c r="F11" i="25" s="1"/>
  <c r="C10" i="25"/>
  <c r="D10" i="25"/>
  <c r="E10" i="25"/>
  <c r="F10" i="25"/>
  <c r="B11" i="25"/>
  <c r="E11" i="25"/>
  <c r="E22" i="25" s="1"/>
  <c r="E28" i="25" s="1"/>
  <c r="E31" i="25" s="1"/>
  <c r="B15" i="25"/>
  <c r="C15" i="25"/>
  <c r="D15" i="25"/>
  <c r="D20" i="25" s="1"/>
  <c r="E15" i="25"/>
  <c r="E20" i="25" s="1"/>
  <c r="F15" i="25"/>
  <c r="B16" i="25"/>
  <c r="C16" i="25"/>
  <c r="D16" i="25"/>
  <c r="E16" i="25"/>
  <c r="F16" i="25"/>
  <c r="B17" i="25"/>
  <c r="C17" i="25"/>
  <c r="D17" i="25"/>
  <c r="E17" i="25"/>
  <c r="F17" i="25"/>
  <c r="C18" i="25"/>
  <c r="D18" i="25"/>
  <c r="E18" i="25"/>
  <c r="F18" i="25"/>
  <c r="F20" i="25" s="1"/>
  <c r="C19" i="25"/>
  <c r="D19" i="25"/>
  <c r="E19" i="25"/>
  <c r="F19" i="25"/>
  <c r="B20" i="25"/>
  <c r="C20" i="25"/>
  <c r="B22" i="25"/>
  <c r="B26" i="25"/>
  <c r="C26" i="25"/>
  <c r="E26" i="25"/>
  <c r="F26" i="25"/>
  <c r="G26" i="25"/>
  <c r="B28" i="25"/>
  <c r="B31" i="25"/>
  <c r="I38" i="26" l="1"/>
  <c r="G20" i="25"/>
  <c r="G22" i="25" s="1"/>
  <c r="G28" i="25" s="1"/>
  <c r="G31" i="25" s="1"/>
  <c r="I70" i="26"/>
  <c r="H60" i="26"/>
  <c r="H52" i="26"/>
  <c r="G70" i="26"/>
  <c r="G23" i="26"/>
  <c r="H35" i="26"/>
  <c r="H36" i="26" s="1"/>
  <c r="H38" i="26" s="1"/>
  <c r="F22" i="25"/>
  <c r="F28" i="25" s="1"/>
  <c r="F31" i="25" s="1"/>
  <c r="H70" i="26" l="1"/>
  <c r="B25" i="12"/>
  <c r="B16" i="12"/>
  <c r="B18" i="12" s="1"/>
  <c r="B10" i="12"/>
  <c r="B20" i="12" s="1"/>
  <c r="B27" i="12" s="1"/>
  <c r="B30" i="12" s="1"/>
  <c r="H13" i="11" l="1"/>
  <c r="H9" i="11"/>
  <c r="G37" i="10"/>
  <c r="G24" i="10"/>
  <c r="D8" i="10"/>
  <c r="D9" i="10" s="1"/>
  <c r="E9" i="10"/>
  <c r="G8" i="10"/>
  <c r="G9" i="10" s="1"/>
  <c r="C8" i="10"/>
  <c r="C9" i="10" s="1"/>
  <c r="H33" i="9"/>
  <c r="H27" i="9"/>
  <c r="H9" i="9"/>
  <c r="F8" i="10" s="1"/>
  <c r="F9" i="10" s="1"/>
  <c r="H64" i="23" l="1"/>
  <c r="H63" i="23"/>
  <c r="H59" i="23"/>
  <c r="H58" i="23"/>
  <c r="H57" i="23"/>
  <c r="H53" i="23"/>
  <c r="H52" i="23"/>
  <c r="H51" i="23"/>
  <c r="H50" i="23"/>
  <c r="H49" i="23"/>
  <c r="H40" i="23"/>
  <c r="H47" i="23"/>
  <c r="H46" i="23"/>
  <c r="H45" i="23"/>
  <c r="H35" i="23"/>
  <c r="H34" i="23"/>
  <c r="H32" i="23"/>
  <c r="H17" i="23"/>
  <c r="H16" i="23"/>
  <c r="H14" i="23"/>
  <c r="H10" i="23"/>
  <c r="H9" i="23"/>
  <c r="H68" i="18"/>
  <c r="H67" i="18"/>
  <c r="H66" i="18"/>
  <c r="H62" i="18"/>
  <c r="H61" i="18"/>
  <c r="H60" i="18"/>
  <c r="H59" i="18"/>
  <c r="H58" i="18"/>
  <c r="H54" i="18"/>
  <c r="H53" i="18"/>
  <c r="H52" i="18"/>
  <c r="H51" i="18"/>
  <c r="H50" i="18"/>
  <c r="H49" i="18"/>
  <c r="H48" i="18"/>
  <c r="H47" i="18"/>
  <c r="H46" i="18"/>
  <c r="H45" i="18"/>
  <c r="H41" i="18"/>
  <c r="H36" i="18"/>
  <c r="H33" i="18"/>
  <c r="H10" i="18"/>
  <c r="H9" i="18"/>
  <c r="H105" i="13" l="1"/>
  <c r="H104" i="13"/>
  <c r="H103" i="13"/>
  <c r="H99" i="13"/>
  <c r="H98" i="13"/>
  <c r="H97" i="13"/>
  <c r="H96" i="13"/>
  <c r="H95" i="13"/>
  <c r="H94" i="13"/>
  <c r="H93" i="13"/>
  <c r="H92" i="13"/>
  <c r="H87" i="13"/>
  <c r="H86" i="13"/>
  <c r="H82" i="13"/>
  <c r="H81" i="13"/>
  <c r="H80" i="13"/>
  <c r="H79" i="13"/>
  <c r="H78" i="13"/>
  <c r="H77" i="13"/>
  <c r="H76" i="13"/>
  <c r="H71" i="13"/>
  <c r="H70" i="13"/>
  <c r="H69" i="13"/>
  <c r="H68" i="13"/>
  <c r="H67" i="13"/>
  <c r="H66" i="13"/>
  <c r="H65" i="13"/>
  <c r="H64" i="13"/>
  <c r="H62" i="13"/>
  <c r="H61" i="13"/>
  <c r="H60" i="13"/>
  <c r="H59" i="13"/>
  <c r="H58" i="13"/>
  <c r="H53" i="13"/>
  <c r="H52" i="13"/>
  <c r="H47" i="13"/>
  <c r="H46" i="13"/>
  <c r="H45" i="13"/>
  <c r="H44" i="13"/>
  <c r="G88" i="13"/>
  <c r="F19" i="24" l="1"/>
  <c r="F10" i="24"/>
  <c r="F12" i="24" s="1"/>
  <c r="G12" i="24"/>
  <c r="G14" i="24" s="1"/>
  <c r="E12" i="24"/>
  <c r="E14" i="24" s="1"/>
  <c r="E119" i="2" s="1"/>
  <c r="D12" i="24"/>
  <c r="D14" i="24" s="1"/>
  <c r="C12" i="24"/>
  <c r="C14" i="24" s="1"/>
  <c r="B12" i="24"/>
  <c r="F14" i="24" l="1"/>
  <c r="F119" i="2" s="1"/>
  <c r="G279" i="2"/>
  <c r="D119" i="2"/>
  <c r="H28" i="13" l="1"/>
  <c r="H24" i="13"/>
  <c r="H23" i="13"/>
  <c r="H22" i="13"/>
  <c r="H21" i="13"/>
  <c r="H20" i="13"/>
  <c r="H9" i="13"/>
  <c r="F302" i="2" l="1"/>
  <c r="I723" i="8"/>
  <c r="I722" i="8"/>
  <c r="I718" i="8"/>
  <c r="I717" i="8"/>
  <c r="I716" i="8"/>
  <c r="I715" i="8"/>
  <c r="I714" i="8"/>
  <c r="I713" i="8"/>
  <c r="I712" i="8"/>
  <c r="I711" i="8"/>
  <c r="I685" i="8"/>
  <c r="I681" i="8"/>
  <c r="I680" i="8"/>
  <c r="I679" i="8"/>
  <c r="I678" i="8"/>
  <c r="I656" i="8"/>
  <c r="I652" i="8"/>
  <c r="I647" i="8"/>
  <c r="I646" i="8"/>
  <c r="I645" i="8"/>
  <c r="I619" i="8"/>
  <c r="I618" i="8"/>
  <c r="I581" i="8"/>
  <c r="I577" i="8"/>
  <c r="I576" i="8"/>
  <c r="I575" i="8"/>
  <c r="I574" i="8"/>
  <c r="I570" i="8"/>
  <c r="I564" i="8"/>
  <c r="I544" i="8"/>
  <c r="I540" i="8"/>
  <c r="I541" i="8" s="1"/>
  <c r="I536" i="8"/>
  <c r="I535" i="8"/>
  <c r="I509" i="8"/>
  <c r="I508" i="8"/>
  <c r="I507" i="8"/>
  <c r="I506" i="8"/>
  <c r="I505" i="8"/>
  <c r="I501" i="8"/>
  <c r="I500" i="8"/>
  <c r="I499" i="8"/>
  <c r="I498" i="8"/>
  <c r="I497" i="8"/>
  <c r="I496" i="8"/>
  <c r="I491" i="8"/>
  <c r="I490" i="8"/>
  <c r="I488" i="8"/>
  <c r="I484" i="8"/>
  <c r="I474" i="8"/>
  <c r="I455" i="8"/>
  <c r="I451" i="8"/>
  <c r="I447" i="8"/>
  <c r="I446" i="8"/>
  <c r="I445" i="8"/>
  <c r="I444" i="8"/>
  <c r="I440" i="8"/>
  <c r="I439" i="8"/>
  <c r="I438" i="8"/>
  <c r="I437" i="8"/>
  <c r="I436" i="8"/>
  <c r="I435" i="8"/>
  <c r="I434" i="8"/>
  <c r="I433" i="8"/>
  <c r="I429" i="8"/>
  <c r="I428" i="8"/>
  <c r="I422" i="8"/>
  <c r="I420" i="8"/>
  <c r="I416" i="8"/>
  <c r="I399" i="8"/>
  <c r="I398" i="8"/>
  <c r="I394" i="8"/>
  <c r="I393" i="8"/>
  <c r="I392" i="8"/>
  <c r="I388" i="8"/>
  <c r="I387" i="8"/>
  <c r="H395" i="8"/>
  <c r="I377" i="8"/>
  <c r="I359" i="8"/>
  <c r="I357" i="8"/>
  <c r="I353" i="8"/>
  <c r="I352" i="8"/>
  <c r="I351" i="8"/>
  <c r="I347" i="8"/>
  <c r="I346" i="8"/>
  <c r="I345" i="8"/>
  <c r="I344" i="8"/>
  <c r="I343" i="8"/>
  <c r="I339" i="8"/>
  <c r="I338" i="8"/>
  <c r="I332" i="8"/>
  <c r="I327" i="8"/>
  <c r="I273" i="8"/>
  <c r="I309" i="8"/>
  <c r="I304" i="8"/>
  <c r="I303" i="8"/>
  <c r="I298" i="8"/>
  <c r="I297" i="8"/>
  <c r="I295" i="8"/>
  <c r="I294" i="8"/>
  <c r="I292" i="8"/>
  <c r="I291" i="8"/>
  <c r="I286" i="8"/>
  <c r="I285" i="8"/>
  <c r="I274" i="8"/>
  <c r="I263" i="8"/>
  <c r="I237" i="8"/>
  <c r="I232" i="8"/>
  <c r="I233" i="8"/>
  <c r="I231" i="8"/>
  <c r="I223" i="8"/>
  <c r="I224" i="8"/>
  <c r="I225" i="8"/>
  <c r="I226" i="8"/>
  <c r="I227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05" i="8"/>
  <c r="I201" i="8"/>
  <c r="I200" i="8"/>
  <c r="I193" i="8"/>
  <c r="I192" i="8"/>
  <c r="I191" i="8"/>
  <c r="I188" i="8"/>
  <c r="I102" i="8"/>
  <c r="I103" i="8"/>
  <c r="I101" i="8"/>
  <c r="I93" i="8"/>
  <c r="I94" i="8"/>
  <c r="I95" i="8"/>
  <c r="I96" i="8"/>
  <c r="I92" i="8"/>
  <c r="I83" i="8"/>
  <c r="I84" i="8"/>
  <c r="I85" i="8"/>
  <c r="I82" i="8"/>
  <c r="I48" i="8"/>
  <c r="I49" i="8"/>
  <c r="I50" i="8"/>
  <c r="I51" i="8"/>
  <c r="I52" i="8"/>
  <c r="I53" i="8"/>
  <c r="I54" i="8"/>
  <c r="I55" i="8"/>
  <c r="I56" i="8"/>
  <c r="I57" i="8"/>
  <c r="I70" i="8"/>
  <c r="I71" i="8"/>
  <c r="I47" i="8"/>
  <c r="I40" i="8"/>
  <c r="I41" i="8"/>
  <c r="I39" i="8"/>
  <c r="I33" i="8"/>
  <c r="I32" i="8"/>
  <c r="I31" i="8"/>
  <c r="I20" i="8"/>
  <c r="I19" i="8"/>
  <c r="I18" i="8"/>
  <c r="I17" i="8"/>
  <c r="I16" i="8"/>
  <c r="I15" i="8"/>
  <c r="I14" i="8"/>
  <c r="I12" i="8"/>
  <c r="I13" i="8"/>
  <c r="I11" i="8"/>
  <c r="I10" i="8"/>
  <c r="G724" i="8" l="1"/>
  <c r="H724" i="8"/>
  <c r="J724" i="8"/>
  <c r="F724" i="8"/>
  <c r="G719" i="8"/>
  <c r="H719" i="8"/>
  <c r="J719" i="8"/>
  <c r="F719" i="8"/>
  <c r="G682" i="8"/>
  <c r="H682" i="8"/>
  <c r="F682" i="8"/>
  <c r="G649" i="8"/>
  <c r="H649" i="8"/>
  <c r="J649" i="8"/>
  <c r="F649" i="8"/>
  <c r="G626" i="8"/>
  <c r="H626" i="8"/>
  <c r="I626" i="8"/>
  <c r="J626" i="8"/>
  <c r="F626" i="8"/>
  <c r="G621" i="8"/>
  <c r="H621" i="8"/>
  <c r="J621" i="8"/>
  <c r="F621" i="8"/>
  <c r="F597" i="8"/>
  <c r="G592" i="8"/>
  <c r="H592" i="8"/>
  <c r="I592" i="8"/>
  <c r="J592" i="8"/>
  <c r="F592" i="8"/>
  <c r="G578" i="8"/>
  <c r="H578" i="8"/>
  <c r="J578" i="8"/>
  <c r="F578" i="8"/>
  <c r="G537" i="8"/>
  <c r="H537" i="8"/>
  <c r="J537" i="8"/>
  <c r="F537" i="8"/>
  <c r="G510" i="8"/>
  <c r="H510" i="8"/>
  <c r="J510" i="8"/>
  <c r="F510" i="8"/>
  <c r="G502" i="8"/>
  <c r="H502" i="8"/>
  <c r="J502" i="8"/>
  <c r="F502" i="8"/>
  <c r="G493" i="8"/>
  <c r="H493" i="8"/>
  <c r="J493" i="8"/>
  <c r="F493" i="8"/>
  <c r="F475" i="8"/>
  <c r="F466" i="8"/>
  <c r="G462" i="8"/>
  <c r="H462" i="8"/>
  <c r="I462" i="8"/>
  <c r="J462" i="8"/>
  <c r="F462" i="8"/>
  <c r="F456" i="8"/>
  <c r="F452" i="8"/>
  <c r="G448" i="8"/>
  <c r="H448" i="8"/>
  <c r="J448" i="8"/>
  <c r="F448" i="8"/>
  <c r="G441" i="8"/>
  <c r="H441" i="8"/>
  <c r="J441" i="8"/>
  <c r="F441" i="8"/>
  <c r="G430" i="8"/>
  <c r="H430" i="8"/>
  <c r="J430" i="8"/>
  <c r="F430" i="8"/>
  <c r="G423" i="8"/>
  <c r="F423" i="8"/>
  <c r="G417" i="8"/>
  <c r="H417" i="8"/>
  <c r="I417" i="8"/>
  <c r="J417" i="8"/>
  <c r="F417" i="8"/>
  <c r="G408" i="8"/>
  <c r="H408" i="8"/>
  <c r="I408" i="8"/>
  <c r="J408" i="8"/>
  <c r="F408" i="8"/>
  <c r="G404" i="8"/>
  <c r="H404" i="8"/>
  <c r="I404" i="8"/>
  <c r="J404" i="8"/>
  <c r="F404" i="8"/>
  <c r="G400" i="8"/>
  <c r="H400" i="8"/>
  <c r="J400" i="8"/>
  <c r="F400" i="8"/>
  <c r="G395" i="8"/>
  <c r="J395" i="8"/>
  <c r="F395" i="8"/>
  <c r="G389" i="8"/>
  <c r="H389" i="8"/>
  <c r="J389" i="8"/>
  <c r="F389" i="8"/>
  <c r="G382" i="8"/>
  <c r="H382" i="8"/>
  <c r="F382" i="8"/>
  <c r="G378" i="8"/>
  <c r="H378" i="8"/>
  <c r="I378" i="8"/>
  <c r="J378" i="8"/>
  <c r="F378" i="8"/>
  <c r="G369" i="8"/>
  <c r="H369" i="8"/>
  <c r="I369" i="8"/>
  <c r="J369" i="8"/>
  <c r="F369" i="8"/>
  <c r="G365" i="8"/>
  <c r="H365" i="8"/>
  <c r="I365" i="8"/>
  <c r="J365" i="8"/>
  <c r="F365" i="8"/>
  <c r="G360" i="8"/>
  <c r="H360" i="8"/>
  <c r="J360" i="8"/>
  <c r="F360" i="8"/>
  <c r="G354" i="8"/>
  <c r="H354" i="8"/>
  <c r="J354" i="8"/>
  <c r="F354" i="8"/>
  <c r="G348" i="8"/>
  <c r="H348" i="8"/>
  <c r="J348" i="8"/>
  <c r="F348" i="8"/>
  <c r="G340" i="8"/>
  <c r="H340" i="8"/>
  <c r="J340" i="8"/>
  <c r="F340" i="8"/>
  <c r="G333" i="8"/>
  <c r="H333" i="8"/>
  <c r="F333" i="8"/>
  <c r="G328" i="8"/>
  <c r="H328" i="8"/>
  <c r="I328" i="8"/>
  <c r="J328" i="8"/>
  <c r="F328" i="8"/>
  <c r="G319" i="8"/>
  <c r="H319" i="8"/>
  <c r="I319" i="8"/>
  <c r="J319" i="8"/>
  <c r="F319" i="8"/>
  <c r="G315" i="8"/>
  <c r="H315" i="8"/>
  <c r="I315" i="8"/>
  <c r="J315" i="8"/>
  <c r="F315" i="8"/>
  <c r="G311" i="8"/>
  <c r="H311" i="8"/>
  <c r="J311" i="8"/>
  <c r="F311" i="8"/>
  <c r="G305" i="8"/>
  <c r="H305" i="8"/>
  <c r="J305" i="8"/>
  <c r="F305" i="8"/>
  <c r="G300" i="8"/>
  <c r="H300" i="8"/>
  <c r="J300" i="8"/>
  <c r="F300" i="8"/>
  <c r="G288" i="8"/>
  <c r="H288" i="8"/>
  <c r="J288" i="8"/>
  <c r="F288" i="8"/>
  <c r="G275" i="8"/>
  <c r="H275" i="8"/>
  <c r="J275" i="8"/>
  <c r="G280" i="8"/>
  <c r="H280" i="8"/>
  <c r="F275" i="8"/>
  <c r="F280" i="8"/>
  <c r="G265" i="8"/>
  <c r="H265" i="8"/>
  <c r="J265" i="8"/>
  <c r="F265" i="8"/>
  <c r="G258" i="8"/>
  <c r="H258" i="8"/>
  <c r="F254" i="8"/>
  <c r="G254" i="8"/>
  <c r="H254" i="8"/>
  <c r="I254" i="8"/>
  <c r="J254" i="8"/>
  <c r="G246" i="8"/>
  <c r="H246" i="8"/>
  <c r="I246" i="8"/>
  <c r="J246" i="8"/>
  <c r="F246" i="8"/>
  <c r="G242" i="8"/>
  <c r="H242" i="8"/>
  <c r="I242" i="8"/>
  <c r="J242" i="8"/>
  <c r="G238" i="8"/>
  <c r="H238" i="8"/>
  <c r="J238" i="8"/>
  <c r="F242" i="8"/>
  <c r="F238" i="8"/>
  <c r="G234" i="8"/>
  <c r="H234" i="8"/>
  <c r="J234" i="8"/>
  <c r="F234" i="8"/>
  <c r="G228" i="8"/>
  <c r="H228" i="8"/>
  <c r="J228" i="8"/>
  <c r="F228" i="8"/>
  <c r="G202" i="8"/>
  <c r="H202" i="8"/>
  <c r="J202" i="8"/>
  <c r="F202" i="8"/>
  <c r="H194" i="8"/>
  <c r="G185" i="8"/>
  <c r="I185" i="8"/>
  <c r="J185" i="8"/>
  <c r="F185" i="8"/>
  <c r="G177" i="8"/>
  <c r="G179" i="8" s="1"/>
  <c r="H177" i="8"/>
  <c r="H179" i="8" s="1"/>
  <c r="I177" i="8"/>
  <c r="I179" i="8" s="1"/>
  <c r="J177" i="8"/>
  <c r="J179" i="8" s="1"/>
  <c r="F177" i="8"/>
  <c r="F179" i="8" s="1"/>
  <c r="G169" i="8"/>
  <c r="H169" i="8"/>
  <c r="I169" i="8"/>
  <c r="J169" i="8"/>
  <c r="G165" i="8"/>
  <c r="I165" i="8"/>
  <c r="J165" i="8"/>
  <c r="G158" i="8"/>
  <c r="H158" i="8"/>
  <c r="G154" i="8"/>
  <c r="H154" i="8"/>
  <c r="I154" i="8"/>
  <c r="J154" i="8"/>
  <c r="F165" i="8"/>
  <c r="F158" i="8"/>
  <c r="F154" i="8"/>
  <c r="G146" i="8"/>
  <c r="H146" i="8"/>
  <c r="I146" i="8"/>
  <c r="J146" i="8"/>
  <c r="F146" i="8"/>
  <c r="G140" i="8"/>
  <c r="H140" i="8"/>
  <c r="I140" i="8"/>
  <c r="J140" i="8"/>
  <c r="F140" i="8"/>
  <c r="G136" i="8"/>
  <c r="H136" i="8"/>
  <c r="I136" i="8"/>
  <c r="J136" i="8"/>
  <c r="F136" i="8"/>
  <c r="G127" i="8"/>
  <c r="H127" i="8"/>
  <c r="I127" i="8"/>
  <c r="J127" i="8"/>
  <c r="F127" i="8"/>
  <c r="G120" i="8"/>
  <c r="H120" i="8"/>
  <c r="I120" i="8"/>
  <c r="J120" i="8"/>
  <c r="F120" i="8"/>
  <c r="G111" i="8"/>
  <c r="H111" i="8"/>
  <c r="I111" i="8"/>
  <c r="J111" i="8"/>
  <c r="F111" i="8"/>
  <c r="G104" i="8"/>
  <c r="H104" i="8"/>
  <c r="J104" i="8"/>
  <c r="F104" i="8"/>
  <c r="G97" i="8"/>
  <c r="H97" i="8"/>
  <c r="J97" i="8"/>
  <c r="F97" i="8"/>
  <c r="G86" i="8"/>
  <c r="H86" i="8"/>
  <c r="J86" i="8"/>
  <c r="F86" i="8"/>
  <c r="G78" i="8"/>
  <c r="H78" i="8"/>
  <c r="I78" i="8"/>
  <c r="J78" i="8"/>
  <c r="F78" i="8"/>
  <c r="G72" i="8"/>
  <c r="J72" i="8"/>
  <c r="F72" i="8"/>
  <c r="G42" i="8"/>
  <c r="H42" i="8"/>
  <c r="F42" i="8"/>
  <c r="G27" i="8"/>
  <c r="H27" i="8"/>
  <c r="I27" i="8"/>
  <c r="J27" i="8"/>
  <c r="F27" i="8"/>
  <c r="G22" i="8"/>
  <c r="H22" i="8"/>
  <c r="I22" i="8"/>
  <c r="J22" i="8"/>
  <c r="F22" i="8"/>
  <c r="D33" i="22"/>
  <c r="D36" i="22" s="1"/>
  <c r="D32" i="22"/>
  <c r="F335" i="8" l="1"/>
  <c r="F142" i="8"/>
  <c r="F148" i="8" s="1"/>
  <c r="G384" i="8"/>
  <c r="H160" i="8"/>
  <c r="H171" i="8" s="1"/>
  <c r="G335" i="8"/>
  <c r="G371" i="8" s="1"/>
  <c r="H384" i="8"/>
  <c r="H410" i="8" s="1"/>
  <c r="J142" i="8"/>
  <c r="J148" i="8" s="1"/>
  <c r="G142" i="8"/>
  <c r="G148" i="8" s="1"/>
  <c r="H196" i="8"/>
  <c r="H248" i="8" s="1"/>
  <c r="G425" i="8"/>
  <c r="H260" i="8"/>
  <c r="H267" i="8" s="1"/>
  <c r="F282" i="8"/>
  <c r="F321" i="8" s="1"/>
  <c r="G130" i="8"/>
  <c r="H142" i="8"/>
  <c r="H148" i="8" s="1"/>
  <c r="H335" i="8"/>
  <c r="H371" i="8" s="1"/>
  <c r="F425" i="8"/>
  <c r="F468" i="8" s="1"/>
  <c r="G260" i="8"/>
  <c r="G267" i="8" s="1"/>
  <c r="G410" i="8"/>
  <c r="G160" i="8"/>
  <c r="G171" i="8" s="1"/>
  <c r="H130" i="8"/>
  <c r="I142" i="8"/>
  <c r="I148" i="8" s="1"/>
  <c r="F160" i="8"/>
  <c r="F371" i="8"/>
  <c r="F384" i="8"/>
  <c r="F410" i="8" s="1"/>
  <c r="F130" i="8"/>
  <c r="H282" i="8"/>
  <c r="H321" i="8" s="1"/>
  <c r="G282" i="8"/>
  <c r="G321" i="8" s="1"/>
  <c r="H15" i="18" l="1"/>
  <c r="B21" i="19"/>
  <c r="G124" i="13" l="1"/>
  <c r="B34" i="14"/>
  <c r="B24" i="14"/>
  <c r="B23" i="14"/>
  <c r="B20" i="14"/>
  <c r="J680" i="8" l="1"/>
  <c r="J682" i="8" s="1"/>
  <c r="H423" i="8"/>
  <c r="H425" i="8" s="1"/>
  <c r="G101" i="2" l="1"/>
  <c r="G102" i="2"/>
  <c r="F101" i="2"/>
  <c r="F102" i="2"/>
  <c r="E101" i="2"/>
  <c r="E102" i="2"/>
  <c r="D101" i="2"/>
  <c r="D102" i="2"/>
  <c r="C101" i="2"/>
  <c r="C102" i="2"/>
  <c r="J35" i="8"/>
  <c r="J34" i="8"/>
  <c r="J42" i="8" l="1"/>
  <c r="J130" i="8" s="1"/>
  <c r="J564" i="8"/>
  <c r="J157" i="8"/>
  <c r="J158" i="8" s="1"/>
  <c r="J160" i="8" s="1"/>
  <c r="J171" i="8" s="1"/>
  <c r="I157" i="8"/>
  <c r="I158" i="8" s="1"/>
  <c r="I160" i="8" s="1"/>
  <c r="I171" i="8" s="1"/>
  <c r="B17" i="22" l="1"/>
  <c r="B16" i="22"/>
  <c r="B20" i="19"/>
  <c r="B18" i="19"/>
  <c r="B17" i="19"/>
  <c r="B16" i="19"/>
  <c r="B14" i="19"/>
  <c r="G9" i="19"/>
  <c r="H44" i="23" l="1"/>
  <c r="G11" i="23"/>
  <c r="E7" i="22" s="1"/>
  <c r="F18" i="23"/>
  <c r="D8" i="22" s="1"/>
  <c r="G18" i="23"/>
  <c r="E8" i="22" s="1"/>
  <c r="I18" i="23"/>
  <c r="G8" i="22" s="1"/>
  <c r="E18" i="23"/>
  <c r="C8" i="22" s="1"/>
  <c r="H18" i="18"/>
  <c r="E9" i="22" l="1"/>
  <c r="H18" i="23"/>
  <c r="F8" i="22" s="1"/>
  <c r="B21" i="14"/>
  <c r="B18" i="14"/>
  <c r="B17" i="14"/>
  <c r="B15" i="14"/>
  <c r="H91" i="13" l="1"/>
  <c r="H10" i="13" l="1"/>
  <c r="H11" i="13"/>
  <c r="B300" i="2" l="1"/>
  <c r="J748" i="8" l="1"/>
  <c r="G260" i="2" s="1"/>
  <c r="I748" i="8"/>
  <c r="H748" i="8"/>
  <c r="G748" i="8"/>
  <c r="D260" i="2" s="1"/>
  <c r="F748" i="8"/>
  <c r="C260" i="2" s="1"/>
  <c r="J744" i="8"/>
  <c r="H744" i="8"/>
  <c r="E259" i="2" s="1"/>
  <c r="G744" i="8"/>
  <c r="D259" i="2" s="1"/>
  <c r="F744" i="8"/>
  <c r="C259" i="2" s="1"/>
  <c r="J740" i="8"/>
  <c r="H740" i="8"/>
  <c r="G740" i="8"/>
  <c r="F740" i="8"/>
  <c r="I740" i="8"/>
  <c r="B261" i="2"/>
  <c r="B253" i="2"/>
  <c r="B252" i="2"/>
  <c r="B251" i="2"/>
  <c r="B249" i="2"/>
  <c r="B243" i="2"/>
  <c r="B242" i="2"/>
  <c r="B236" i="2"/>
  <c r="B235" i="2"/>
  <c r="B228" i="2"/>
  <c r="B227" i="2"/>
  <c r="B226" i="2"/>
  <c r="B220" i="2"/>
  <c r="B219" i="2"/>
  <c r="B218" i="2"/>
  <c r="B216" i="2"/>
  <c r="B207" i="2"/>
  <c r="B208" i="2"/>
  <c r="B209" i="2"/>
  <c r="J750" i="8" l="1"/>
  <c r="D258" i="2"/>
  <c r="D261" i="2" s="1"/>
  <c r="D263" i="2" s="1"/>
  <c r="G750" i="8"/>
  <c r="E258" i="2"/>
  <c r="E261" i="2" s="1"/>
  <c r="H750" i="8"/>
  <c r="F750" i="8"/>
  <c r="C258" i="2"/>
  <c r="C261" i="2" s="1"/>
  <c r="C263" i="2" s="1"/>
  <c r="G259" i="2"/>
  <c r="G261" i="2" s="1"/>
  <c r="F258" i="2"/>
  <c r="I744" i="8"/>
  <c r="F259" i="2" s="1"/>
  <c r="B255" i="2"/>
  <c r="I750" i="8" l="1"/>
  <c r="F261" i="2"/>
  <c r="B189" i="2"/>
  <c r="B188" i="2"/>
  <c r="B187" i="2"/>
  <c r="B186" i="2"/>
  <c r="B180" i="2"/>
  <c r="B179" i="2"/>
  <c r="B178" i="2"/>
  <c r="B177" i="2"/>
  <c r="B171" i="2"/>
  <c r="B170" i="2"/>
  <c r="B169" i="2"/>
  <c r="B168" i="2"/>
  <c r="B167" i="2"/>
  <c r="B161" i="2"/>
  <c r="B160" i="2"/>
  <c r="B159" i="2"/>
  <c r="B158" i="2"/>
  <c r="B157" i="2"/>
  <c r="B283" i="2"/>
  <c r="B153" i="2"/>
  <c r="B152" i="2"/>
  <c r="B145" i="2"/>
  <c r="B144" i="2"/>
  <c r="B143" i="2"/>
  <c r="B142" i="2"/>
  <c r="B133" i="2"/>
  <c r="G173" i="2"/>
  <c r="F173" i="2"/>
  <c r="E173" i="2"/>
  <c r="D173" i="2"/>
  <c r="C173" i="2"/>
  <c r="G148" i="2"/>
  <c r="F148" i="2"/>
  <c r="E148" i="2"/>
  <c r="D148" i="2"/>
  <c r="C148" i="2"/>
  <c r="B149" i="2" l="1"/>
  <c r="G127" i="2"/>
  <c r="G115" i="2"/>
  <c r="G116" i="2"/>
  <c r="G114" i="2"/>
  <c r="F115" i="2"/>
  <c r="F116" i="2"/>
  <c r="E115" i="2"/>
  <c r="E116" i="2"/>
  <c r="D115" i="2"/>
  <c r="D116" i="2"/>
  <c r="F114" i="2"/>
  <c r="E114" i="2"/>
  <c r="D114" i="2"/>
  <c r="C115" i="2"/>
  <c r="C116" i="2"/>
  <c r="C114" i="2"/>
  <c r="G107" i="2"/>
  <c r="G108" i="2"/>
  <c r="G109" i="2"/>
  <c r="G110" i="2"/>
  <c r="G106" i="2"/>
  <c r="F107" i="2"/>
  <c r="F108" i="2"/>
  <c r="F109" i="2"/>
  <c r="F110" i="2"/>
  <c r="F106" i="2"/>
  <c r="E107" i="2"/>
  <c r="E108" i="2"/>
  <c r="E109" i="2"/>
  <c r="E110" i="2"/>
  <c r="E106" i="2"/>
  <c r="D107" i="2"/>
  <c r="D108" i="2"/>
  <c r="D109" i="2"/>
  <c r="D110" i="2"/>
  <c r="D106" i="2"/>
  <c r="C107" i="2"/>
  <c r="C108" i="2"/>
  <c r="C109" i="2"/>
  <c r="C110" i="2"/>
  <c r="C106" i="2"/>
  <c r="G100" i="2"/>
  <c r="F100" i="2"/>
  <c r="E100" i="2"/>
  <c r="D100" i="2"/>
  <c r="C100" i="2"/>
  <c r="G95" i="2"/>
  <c r="G96" i="2"/>
  <c r="G94" i="2"/>
  <c r="E95" i="2"/>
  <c r="E96" i="2"/>
  <c r="D95" i="2"/>
  <c r="D96" i="2"/>
  <c r="C95" i="2"/>
  <c r="C96" i="2"/>
  <c r="E94" i="2"/>
  <c r="D94" i="2"/>
  <c r="C94" i="2"/>
  <c r="G85" i="2"/>
  <c r="G86" i="2"/>
  <c r="G87" i="2"/>
  <c r="G88" i="2"/>
  <c r="G89" i="2"/>
  <c r="G90" i="2"/>
  <c r="F85" i="2"/>
  <c r="F87" i="2"/>
  <c r="F88" i="2"/>
  <c r="F89" i="2"/>
  <c r="E85" i="2"/>
  <c r="E86" i="2"/>
  <c r="E87" i="2"/>
  <c r="E88" i="2"/>
  <c r="E89" i="2"/>
  <c r="E90" i="2"/>
  <c r="D85" i="2"/>
  <c r="D86" i="2"/>
  <c r="D87" i="2"/>
  <c r="D88" i="2"/>
  <c r="D89" i="2"/>
  <c r="D90" i="2"/>
  <c r="C85" i="2"/>
  <c r="C86" i="2"/>
  <c r="C87" i="2"/>
  <c r="C88" i="2"/>
  <c r="C89" i="2"/>
  <c r="C90" i="2"/>
  <c r="G84" i="2"/>
  <c r="F84" i="2"/>
  <c r="E84" i="2"/>
  <c r="D84" i="2"/>
  <c r="C84" i="2"/>
  <c r="G78" i="2"/>
  <c r="G79" i="2"/>
  <c r="G80" i="2"/>
  <c r="G77" i="2"/>
  <c r="F79" i="2"/>
  <c r="E78" i="2"/>
  <c r="E79" i="2"/>
  <c r="E80" i="2"/>
  <c r="E77" i="2"/>
  <c r="D78" i="2"/>
  <c r="D79" i="2"/>
  <c r="D80" i="2"/>
  <c r="D77" i="2"/>
  <c r="C78" i="2"/>
  <c r="C79" i="2"/>
  <c r="C80" i="2"/>
  <c r="C77" i="2"/>
  <c r="G73" i="2"/>
  <c r="G72" i="2"/>
  <c r="F73" i="2"/>
  <c r="F72" i="2"/>
  <c r="E73" i="2"/>
  <c r="E72" i="2"/>
  <c r="D73" i="2"/>
  <c r="D72" i="2"/>
  <c r="C73" i="2"/>
  <c r="C72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F44" i="2"/>
  <c r="F45" i="2"/>
  <c r="F46" i="2"/>
  <c r="F52" i="2"/>
  <c r="F55" i="2"/>
  <c r="F56" i="2"/>
  <c r="F57" i="2"/>
  <c r="F58" i="2"/>
  <c r="F59" i="2"/>
  <c r="F60" i="2"/>
  <c r="F61" i="2"/>
  <c r="F62" i="2"/>
  <c r="F63" i="2"/>
  <c r="F64" i="2"/>
  <c r="F65" i="2"/>
  <c r="F66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G43" i="2"/>
  <c r="F43" i="2"/>
  <c r="E43" i="2"/>
  <c r="D43" i="2"/>
  <c r="C43" i="2"/>
  <c r="G30" i="2"/>
  <c r="G31" i="2"/>
  <c r="G32" i="2"/>
  <c r="G33" i="2"/>
  <c r="G34" i="2"/>
  <c r="G35" i="2"/>
  <c r="G36" i="2"/>
  <c r="G37" i="2"/>
  <c r="G38" i="2"/>
  <c r="G39" i="2"/>
  <c r="G29" i="2"/>
  <c r="F32" i="2"/>
  <c r="F33" i="2"/>
  <c r="F34" i="2"/>
  <c r="F36" i="2"/>
  <c r="F29" i="2"/>
  <c r="E30" i="2"/>
  <c r="E31" i="2"/>
  <c r="E32" i="2"/>
  <c r="E33" i="2"/>
  <c r="E34" i="2"/>
  <c r="E35" i="2"/>
  <c r="E36" i="2"/>
  <c r="E37" i="2"/>
  <c r="E38" i="2"/>
  <c r="E39" i="2"/>
  <c r="E29" i="2"/>
  <c r="D30" i="2"/>
  <c r="D31" i="2"/>
  <c r="D32" i="2"/>
  <c r="D33" i="2"/>
  <c r="D34" i="2"/>
  <c r="D35" i="2"/>
  <c r="D36" i="2"/>
  <c r="D37" i="2"/>
  <c r="D38" i="2"/>
  <c r="D39" i="2"/>
  <c r="D29" i="2"/>
  <c r="C30" i="2"/>
  <c r="C31" i="2"/>
  <c r="C32" i="2"/>
  <c r="C33" i="2"/>
  <c r="C34" i="2"/>
  <c r="C35" i="2"/>
  <c r="C36" i="2"/>
  <c r="C37" i="2"/>
  <c r="C38" i="2"/>
  <c r="C39" i="2"/>
  <c r="C29" i="2"/>
  <c r="G25" i="2"/>
  <c r="D25" i="2"/>
  <c r="E25" i="2"/>
  <c r="C25" i="2"/>
  <c r="G10" i="2"/>
  <c r="G11" i="2"/>
  <c r="G12" i="2"/>
  <c r="G13" i="2"/>
  <c r="G14" i="2"/>
  <c r="G15" i="2"/>
  <c r="G16" i="2"/>
  <c r="G17" i="2"/>
  <c r="G18" i="2"/>
  <c r="G20" i="2"/>
  <c r="G21" i="2"/>
  <c r="G9" i="2"/>
  <c r="E10" i="2"/>
  <c r="E11" i="2"/>
  <c r="E12" i="2"/>
  <c r="E13" i="2"/>
  <c r="E14" i="2"/>
  <c r="E15" i="2"/>
  <c r="E16" i="2"/>
  <c r="E17" i="2"/>
  <c r="E18" i="2"/>
  <c r="E19" i="2"/>
  <c r="E20" i="2"/>
  <c r="E21" i="2"/>
  <c r="E9" i="2"/>
  <c r="D10" i="2"/>
  <c r="D11" i="2"/>
  <c r="D12" i="2"/>
  <c r="D13" i="2"/>
  <c r="D14" i="2"/>
  <c r="D15" i="2"/>
  <c r="D16" i="2"/>
  <c r="D17" i="2"/>
  <c r="D18" i="2"/>
  <c r="D19" i="2"/>
  <c r="D20" i="2"/>
  <c r="D21" i="2"/>
  <c r="D9" i="2"/>
  <c r="C10" i="2"/>
  <c r="C11" i="2"/>
  <c r="C12" i="2"/>
  <c r="C13" i="2"/>
  <c r="C14" i="2"/>
  <c r="C15" i="2"/>
  <c r="C16" i="2"/>
  <c r="C17" i="2"/>
  <c r="C18" i="2"/>
  <c r="C19" i="2"/>
  <c r="C20" i="2"/>
  <c r="C21" i="2"/>
  <c r="C9" i="2"/>
  <c r="J732" i="8"/>
  <c r="G254" i="2" s="1"/>
  <c r="J728" i="8"/>
  <c r="G252" i="2"/>
  <c r="G251" i="2"/>
  <c r="J708" i="8"/>
  <c r="G250" i="2" s="1"/>
  <c r="J698" i="8"/>
  <c r="J690" i="8"/>
  <c r="G245" i="2" s="1"/>
  <c r="J686" i="8"/>
  <c r="G244" i="2" s="1"/>
  <c r="G243" i="2"/>
  <c r="J669" i="8"/>
  <c r="J672" i="8" s="1"/>
  <c r="J673" i="8" s="1"/>
  <c r="I724" i="8" l="1"/>
  <c r="I682" i="8"/>
  <c r="I719" i="8"/>
  <c r="J701" i="8"/>
  <c r="J702" i="8" s="1"/>
  <c r="J704" i="8"/>
  <c r="J734" i="8" s="1"/>
  <c r="I621" i="8"/>
  <c r="I649" i="8"/>
  <c r="I537" i="8"/>
  <c r="G253" i="2"/>
  <c r="G117" i="2"/>
  <c r="G97" i="2"/>
  <c r="G249" i="2"/>
  <c r="J675" i="8"/>
  <c r="G242" i="2" l="1"/>
  <c r="G246" i="2" s="1"/>
  <c r="J692" i="8"/>
  <c r="G255" i="2"/>
  <c r="I578" i="8" l="1"/>
  <c r="I492" i="8"/>
  <c r="I493" i="8"/>
  <c r="I430" i="8" l="1"/>
  <c r="I448" i="8"/>
  <c r="I502" i="8"/>
  <c r="I400" i="8"/>
  <c r="I441" i="8"/>
  <c r="I510" i="8"/>
  <c r="I389" i="8" l="1"/>
  <c r="I395" i="8"/>
  <c r="I360" i="8"/>
  <c r="I348" i="8"/>
  <c r="I311" i="8"/>
  <c r="I305" i="8"/>
  <c r="C159" i="2"/>
  <c r="I275" i="8"/>
  <c r="I279" i="8" s="1"/>
  <c r="I265" i="8"/>
  <c r="I238" i="8"/>
  <c r="F90" i="2"/>
  <c r="F96" i="2"/>
  <c r="F95" i="2"/>
  <c r="F80" i="2"/>
  <c r="F78" i="2"/>
  <c r="F68" i="2"/>
  <c r="F67" i="2"/>
  <c r="F54" i="2"/>
  <c r="F53" i="2"/>
  <c r="F51" i="2"/>
  <c r="F50" i="2"/>
  <c r="F49" i="2"/>
  <c r="F48" i="2"/>
  <c r="F39" i="2"/>
  <c r="F38" i="2"/>
  <c r="F21" i="2"/>
  <c r="F37" i="2"/>
  <c r="F35" i="2"/>
  <c r="F31" i="2"/>
  <c r="F19" i="2"/>
  <c r="G19" i="2"/>
  <c r="F16" i="2"/>
  <c r="F17" i="2"/>
  <c r="F18" i="2"/>
  <c r="F20" i="2"/>
  <c r="F10" i="2"/>
  <c r="F11" i="2"/>
  <c r="F12" i="2"/>
  <c r="F13" i="2"/>
  <c r="F14" i="2"/>
  <c r="F15" i="2"/>
  <c r="I288" i="8" l="1"/>
  <c r="I202" i="8"/>
  <c r="I234" i="8"/>
  <c r="I354" i="8"/>
  <c r="I340" i="8"/>
  <c r="F47" i="2"/>
  <c r="I72" i="8"/>
  <c r="F94" i="2"/>
  <c r="I104" i="8"/>
  <c r="F77" i="2"/>
  <c r="I86" i="8"/>
  <c r="F86" i="2"/>
  <c r="I97" i="8"/>
  <c r="I300" i="8"/>
  <c r="I228" i="8"/>
  <c r="F144" i="2" s="1"/>
  <c r="F30" i="2"/>
  <c r="I42" i="8"/>
  <c r="F25" i="2"/>
  <c r="F9" i="2"/>
  <c r="G283" i="2"/>
  <c r="I130" i="8" l="1"/>
  <c r="I278" i="8"/>
  <c r="I280" i="8" s="1"/>
  <c r="I282" i="8" s="1"/>
  <c r="I321" i="8" s="1"/>
  <c r="G26" i="2" l="1"/>
  <c r="G21" i="24" l="1"/>
  <c r="G24" i="24" s="1"/>
  <c r="G81" i="2" l="1"/>
  <c r="G103" i="2"/>
  <c r="G111" i="2"/>
  <c r="G91" i="2"/>
  <c r="G74" i="2" l="1"/>
  <c r="G69" i="2"/>
  <c r="G40" i="2"/>
  <c r="G22" i="2"/>
  <c r="G121" i="2" s="1"/>
  <c r="G83" i="13" l="1"/>
  <c r="E18" i="14" s="1"/>
  <c r="E277" i="2"/>
  <c r="D277" i="2" l="1"/>
  <c r="D276" i="2" l="1"/>
  <c r="B103" i="2" l="1"/>
  <c r="C172" i="2" l="1"/>
  <c r="D172" i="2"/>
  <c r="E172" i="2"/>
  <c r="F172" i="2"/>
  <c r="G172" i="2"/>
  <c r="C192" i="2"/>
  <c r="D192" i="2"/>
  <c r="E192" i="2"/>
  <c r="F192" i="2"/>
  <c r="G192" i="2"/>
  <c r="G147" i="2"/>
  <c r="F147" i="2"/>
  <c r="E147" i="2"/>
  <c r="D147" i="2"/>
  <c r="C147" i="2"/>
  <c r="C252" i="2" l="1"/>
  <c r="D252" i="2"/>
  <c r="E252" i="2"/>
  <c r="F252" i="2"/>
  <c r="B10" i="19" l="1"/>
  <c r="D32" i="19" l="1"/>
  <c r="E47" i="22" l="1"/>
  <c r="D179" i="2" l="1"/>
  <c r="E179" i="2"/>
  <c r="F179" i="2"/>
  <c r="G179" i="2"/>
  <c r="C179" i="2"/>
  <c r="D178" i="2"/>
  <c r="E178" i="2"/>
  <c r="F178" i="2"/>
  <c r="G178" i="2"/>
  <c r="C178" i="2"/>
  <c r="B117" i="2" l="1"/>
  <c r="C21" i="24" l="1"/>
  <c r="C24" i="24" s="1"/>
  <c r="B21" i="22"/>
  <c r="I75" i="23"/>
  <c r="G20" i="22" s="1"/>
  <c r="H75" i="23"/>
  <c r="F20" i="22" s="1"/>
  <c r="G75" i="23"/>
  <c r="E20" i="22" s="1"/>
  <c r="F75" i="23"/>
  <c r="D20" i="22" s="1"/>
  <c r="E75" i="23"/>
  <c r="C20" i="22" s="1"/>
  <c r="I71" i="23"/>
  <c r="G19" i="22" s="1"/>
  <c r="H71" i="23"/>
  <c r="F19" i="22" s="1"/>
  <c r="G71" i="23"/>
  <c r="E19" i="22" s="1"/>
  <c r="F71" i="23"/>
  <c r="D19" i="22" s="1"/>
  <c r="E71" i="23"/>
  <c r="C19" i="22" s="1"/>
  <c r="F54" i="23"/>
  <c r="D15" i="22" s="1"/>
  <c r="I66" i="23"/>
  <c r="G17" i="22" s="1"/>
  <c r="H66" i="23"/>
  <c r="F17" i="22" s="1"/>
  <c r="G66" i="23"/>
  <c r="E17" i="22" s="1"/>
  <c r="F66" i="23"/>
  <c r="D17" i="22" s="1"/>
  <c r="E66" i="23"/>
  <c r="C17" i="22" s="1"/>
  <c r="F60" i="23"/>
  <c r="D16" i="22" s="1"/>
  <c r="F41" i="23"/>
  <c r="D14" i="22" s="1"/>
  <c r="G41" i="23"/>
  <c r="E14" i="22" s="1"/>
  <c r="H41" i="23"/>
  <c r="F14" i="22" s="1"/>
  <c r="I41" i="23"/>
  <c r="G14" i="22" s="1"/>
  <c r="F30" i="23"/>
  <c r="G30" i="23"/>
  <c r="H30" i="23"/>
  <c r="H33" i="23" s="1"/>
  <c r="I30" i="23"/>
  <c r="I33" i="23" s="1"/>
  <c r="F11" i="23"/>
  <c r="H11" i="23"/>
  <c r="F7" i="22" s="1"/>
  <c r="F9" i="22" s="1"/>
  <c r="I11" i="23"/>
  <c r="G7" i="22" s="1"/>
  <c r="G9" i="22" s="1"/>
  <c r="E11" i="23"/>
  <c r="C7" i="22" s="1"/>
  <c r="B9" i="22"/>
  <c r="B47" i="22" s="1"/>
  <c r="F20" i="23" l="1"/>
  <c r="D7" i="22"/>
  <c r="D9" i="22" s="1"/>
  <c r="D46" i="22" s="1"/>
  <c r="D47" i="22" s="1"/>
  <c r="D49" i="22" s="1"/>
  <c r="F37" i="23"/>
  <c r="D13" i="22" s="1"/>
  <c r="D21" i="22" s="1"/>
  <c r="F77" i="23"/>
  <c r="D153" i="2"/>
  <c r="E153" i="2"/>
  <c r="F153" i="2"/>
  <c r="G153" i="2"/>
  <c r="C153" i="2"/>
  <c r="D275" i="2" l="1"/>
  <c r="D273" i="2"/>
  <c r="I81" i="18" l="1"/>
  <c r="G21" i="19" s="1"/>
  <c r="H81" i="18"/>
  <c r="F21" i="19" s="1"/>
  <c r="G81" i="18"/>
  <c r="E21" i="19" s="1"/>
  <c r="F81" i="18"/>
  <c r="D21" i="19" s="1"/>
  <c r="E81" i="18"/>
  <c r="C21" i="19" s="1"/>
  <c r="I74" i="18"/>
  <c r="G20" i="19" s="1"/>
  <c r="H74" i="18"/>
  <c r="F20" i="19" s="1"/>
  <c r="G74" i="18"/>
  <c r="E20" i="19" s="1"/>
  <c r="F74" i="18"/>
  <c r="D20" i="19" s="1"/>
  <c r="E74" i="18"/>
  <c r="C20" i="19" s="1"/>
  <c r="I69" i="18"/>
  <c r="G18" i="19" s="1"/>
  <c r="H69" i="18"/>
  <c r="F18" i="19" s="1"/>
  <c r="G69" i="18"/>
  <c r="E18" i="19" s="1"/>
  <c r="F69" i="18"/>
  <c r="D18" i="19" s="1"/>
  <c r="E69" i="18"/>
  <c r="C18" i="19" s="1"/>
  <c r="I63" i="18"/>
  <c r="G17" i="19" s="1"/>
  <c r="H63" i="18"/>
  <c r="F17" i="19" s="1"/>
  <c r="G63" i="18"/>
  <c r="E17" i="19" s="1"/>
  <c r="F63" i="18"/>
  <c r="D17" i="19" s="1"/>
  <c r="E63" i="18"/>
  <c r="C17" i="19" s="1"/>
  <c r="I55" i="18"/>
  <c r="G16" i="19" s="1"/>
  <c r="H55" i="18"/>
  <c r="F16" i="19" s="1"/>
  <c r="G55" i="18"/>
  <c r="E16" i="19" s="1"/>
  <c r="F55" i="18"/>
  <c r="D16" i="19" s="1"/>
  <c r="E55" i="18"/>
  <c r="C16" i="19" s="1"/>
  <c r="I42" i="18"/>
  <c r="G15" i="19" s="1"/>
  <c r="H42" i="18"/>
  <c r="F15" i="19" s="1"/>
  <c r="G42" i="18"/>
  <c r="E15" i="19" s="1"/>
  <c r="F42" i="18"/>
  <c r="D15" i="19" s="1"/>
  <c r="E42" i="18"/>
  <c r="C15" i="19" s="1"/>
  <c r="G37" i="18"/>
  <c r="F37" i="18"/>
  <c r="E37" i="18"/>
  <c r="I31" i="18"/>
  <c r="I34" i="18" s="1"/>
  <c r="H31" i="18"/>
  <c r="G31" i="18"/>
  <c r="F31" i="18"/>
  <c r="E31" i="18"/>
  <c r="H19" i="18"/>
  <c r="F9" i="19" s="1"/>
  <c r="G19" i="18"/>
  <c r="E9" i="19" s="1"/>
  <c r="F19" i="18"/>
  <c r="D9" i="19" s="1"/>
  <c r="E19" i="18"/>
  <c r="C9" i="19" s="1"/>
  <c r="I15" i="18"/>
  <c r="G8" i="19" s="1"/>
  <c r="G15" i="18"/>
  <c r="E8" i="19" s="1"/>
  <c r="F15" i="18"/>
  <c r="D8" i="19" s="1"/>
  <c r="E15" i="18"/>
  <c r="C8" i="19" s="1"/>
  <c r="I11" i="18"/>
  <c r="G7" i="19" s="1"/>
  <c r="H11" i="18"/>
  <c r="F7" i="19" s="1"/>
  <c r="G11" i="18"/>
  <c r="E7" i="19" s="1"/>
  <c r="F11" i="18"/>
  <c r="D7" i="19" s="1"/>
  <c r="E11" i="18"/>
  <c r="C7" i="19" s="1"/>
  <c r="C32" i="19"/>
  <c r="B32" i="19"/>
  <c r="G30" i="19"/>
  <c r="F32" i="19"/>
  <c r="E30" i="19"/>
  <c r="E32" i="19" s="1"/>
  <c r="B22" i="19"/>
  <c r="B53" i="19"/>
  <c r="D37" i="12"/>
  <c r="D39" i="12" s="1"/>
  <c r="D25" i="12"/>
  <c r="F38" i="11"/>
  <c r="D17" i="12" s="1"/>
  <c r="F34" i="11"/>
  <c r="D16" i="12" s="1"/>
  <c r="F28" i="11"/>
  <c r="D15" i="12" s="1"/>
  <c r="F24" i="11"/>
  <c r="D14" i="12" s="1"/>
  <c r="F14" i="11"/>
  <c r="D9" i="12" s="1"/>
  <c r="F10" i="11"/>
  <c r="D8" i="12" s="1"/>
  <c r="D10" i="12" s="1"/>
  <c r="D27" i="12" l="1"/>
  <c r="D18" i="12"/>
  <c r="D20" i="12"/>
  <c r="F16" i="11"/>
  <c r="H34" i="18"/>
  <c r="G38" i="18"/>
  <c r="E14" i="19" s="1"/>
  <c r="C10" i="19"/>
  <c r="E21" i="18"/>
  <c r="G10" i="19"/>
  <c r="G52" i="19" s="1"/>
  <c r="I21" i="18"/>
  <c r="D10" i="19"/>
  <c r="F21" i="18"/>
  <c r="E10" i="19"/>
  <c r="E52" i="19" s="1"/>
  <c r="E53" i="19" s="1"/>
  <c r="G21" i="18"/>
  <c r="F10" i="19"/>
  <c r="F52" i="19" s="1"/>
  <c r="F53" i="19" s="1"/>
  <c r="H21" i="18"/>
  <c r="F38" i="18"/>
  <c r="D14" i="19" s="1"/>
  <c r="E38" i="18"/>
  <c r="B25" i="19"/>
  <c r="B34" i="19" s="1"/>
  <c r="B36" i="19" s="1"/>
  <c r="B39" i="19" s="1"/>
  <c r="B24" i="10"/>
  <c r="C24" i="10"/>
  <c r="D24" i="10"/>
  <c r="E24" i="10"/>
  <c r="F24" i="10"/>
  <c r="F51" i="9"/>
  <c r="D15" i="10" s="1"/>
  <c r="G51" i="9"/>
  <c r="E15" i="10" s="1"/>
  <c r="H51" i="9"/>
  <c r="F15" i="10" s="1"/>
  <c r="I51" i="9"/>
  <c r="G15" i="10" s="1"/>
  <c r="E51" i="9"/>
  <c r="F47" i="9"/>
  <c r="D14" i="10" s="1"/>
  <c r="G47" i="9"/>
  <c r="E14" i="10" s="1"/>
  <c r="H47" i="9"/>
  <c r="F14" i="10" s="1"/>
  <c r="I47" i="9"/>
  <c r="G14" i="10" s="1"/>
  <c r="E47" i="9"/>
  <c r="F43" i="9"/>
  <c r="D13" i="10" s="1"/>
  <c r="G43" i="9"/>
  <c r="E13" i="10" s="1"/>
  <c r="H43" i="9"/>
  <c r="F13" i="10" s="1"/>
  <c r="I43" i="9"/>
  <c r="G13" i="10" s="1"/>
  <c r="E43" i="9"/>
  <c r="C13" i="10" s="1"/>
  <c r="F21" i="9"/>
  <c r="D12" i="10" s="1"/>
  <c r="G21" i="9"/>
  <c r="E12" i="10" s="1"/>
  <c r="H21" i="9"/>
  <c r="F12" i="10" s="1"/>
  <c r="I21" i="9"/>
  <c r="G12" i="10" s="1"/>
  <c r="E21" i="9"/>
  <c r="F12" i="9"/>
  <c r="G16" i="10" l="1"/>
  <c r="G18" i="10" s="1"/>
  <c r="G26" i="10" s="1"/>
  <c r="F16" i="10"/>
  <c r="F18" i="10" s="1"/>
  <c r="F26" i="10" s="1"/>
  <c r="E16" i="10"/>
  <c r="E18" i="10" s="1"/>
  <c r="E26" i="10" s="1"/>
  <c r="E29" i="10" s="1"/>
  <c r="D16" i="10"/>
  <c r="D18" i="10" s="1"/>
  <c r="D26" i="10" s="1"/>
  <c r="D29" i="10" s="1"/>
  <c r="B14" i="10"/>
  <c r="C14" i="10"/>
  <c r="F38" i="19"/>
  <c r="E38" i="19"/>
  <c r="B15" i="10"/>
  <c r="C15" i="10"/>
  <c r="B12" i="10"/>
  <c r="B16" i="10" s="1"/>
  <c r="C12" i="10"/>
  <c r="E83" i="18"/>
  <c r="C14" i="19"/>
  <c r="D52" i="19"/>
  <c r="G53" i="19"/>
  <c r="H53" i="9"/>
  <c r="H37" i="18"/>
  <c r="H38" i="18" s="1"/>
  <c r="I37" i="18"/>
  <c r="I38" i="18" s="1"/>
  <c r="I53" i="9"/>
  <c r="C38" i="19"/>
  <c r="G53" i="9"/>
  <c r="D22" i="19"/>
  <c r="D25" i="19" s="1"/>
  <c r="F83" i="18"/>
  <c r="E22" i="19"/>
  <c r="E25" i="19" s="1"/>
  <c r="E34" i="19" s="1"/>
  <c r="G83" i="18"/>
  <c r="C22" i="19"/>
  <c r="C25" i="19" s="1"/>
  <c r="C34" i="19" s="1"/>
  <c r="C36" i="19" s="1"/>
  <c r="C39" i="19" s="1"/>
  <c r="C53" i="19"/>
  <c r="F53" i="9"/>
  <c r="E53" i="9"/>
  <c r="I124" i="13"/>
  <c r="H124" i="13"/>
  <c r="E24" i="14"/>
  <c r="F124" i="13"/>
  <c r="D24" i="14" s="1"/>
  <c r="E124" i="13"/>
  <c r="C24" i="14" s="1"/>
  <c r="B25" i="14"/>
  <c r="F112" i="13"/>
  <c r="D23" i="14" s="1"/>
  <c r="G112" i="13"/>
  <c r="E23" i="14" s="1"/>
  <c r="H112" i="13"/>
  <c r="F23" i="14" s="1"/>
  <c r="I112" i="13"/>
  <c r="G23" i="14" s="1"/>
  <c r="E112" i="13"/>
  <c r="C23" i="14" s="1"/>
  <c r="F106" i="13"/>
  <c r="D21" i="14" s="1"/>
  <c r="G106" i="13"/>
  <c r="E21" i="14" s="1"/>
  <c r="H106" i="13"/>
  <c r="F21" i="14" s="1"/>
  <c r="I106" i="13"/>
  <c r="G21" i="14" s="1"/>
  <c r="E106" i="13"/>
  <c r="C21" i="14" s="1"/>
  <c r="F100" i="13"/>
  <c r="D20" i="14" s="1"/>
  <c r="G100" i="13"/>
  <c r="E20" i="14" s="1"/>
  <c r="H100" i="13"/>
  <c r="F20" i="14" s="1"/>
  <c r="I100" i="13"/>
  <c r="G20" i="14" s="1"/>
  <c r="E100" i="13"/>
  <c r="C20" i="14" s="1"/>
  <c r="F88" i="13"/>
  <c r="D19" i="14" s="1"/>
  <c r="E19" i="14"/>
  <c r="H88" i="13"/>
  <c r="F19" i="14" s="1"/>
  <c r="I88" i="13"/>
  <c r="G19" i="14" s="1"/>
  <c r="E88" i="13"/>
  <c r="C19" i="14" s="1"/>
  <c r="F83" i="13"/>
  <c r="D18" i="14" s="1"/>
  <c r="H83" i="13"/>
  <c r="F18" i="14" s="1"/>
  <c r="I83" i="13"/>
  <c r="G18" i="14" s="1"/>
  <c r="E83" i="13"/>
  <c r="C18" i="14" s="1"/>
  <c r="F72" i="13"/>
  <c r="D17" i="14" s="1"/>
  <c r="G72" i="13"/>
  <c r="E17" i="14" s="1"/>
  <c r="H72" i="13"/>
  <c r="F17" i="14" s="1"/>
  <c r="I72" i="13"/>
  <c r="G17" i="14" s="1"/>
  <c r="E72" i="13"/>
  <c r="C17" i="14" s="1"/>
  <c r="F54" i="13"/>
  <c r="D16" i="14" s="1"/>
  <c r="G54" i="13"/>
  <c r="E16" i="14" s="1"/>
  <c r="H54" i="13"/>
  <c r="F16" i="14" s="1"/>
  <c r="I54" i="13"/>
  <c r="G16" i="14" s="1"/>
  <c r="E54" i="13"/>
  <c r="C16" i="14" s="1"/>
  <c r="F48" i="13"/>
  <c r="G48" i="13"/>
  <c r="E48" i="13"/>
  <c r="F42" i="13"/>
  <c r="G42" i="13"/>
  <c r="H42" i="13"/>
  <c r="I42" i="13"/>
  <c r="I45" i="13" s="1"/>
  <c r="E42" i="13"/>
  <c r="I29" i="13"/>
  <c r="G10" i="14" s="1"/>
  <c r="H29" i="13"/>
  <c r="F10" i="14" s="1"/>
  <c r="G29" i="13"/>
  <c r="E10" i="14" s="1"/>
  <c r="F29" i="13"/>
  <c r="D10" i="14" s="1"/>
  <c r="E29" i="13"/>
  <c r="C10" i="14" s="1"/>
  <c r="I25" i="13"/>
  <c r="G9" i="14" s="1"/>
  <c r="H25" i="13"/>
  <c r="F9" i="14" s="1"/>
  <c r="G25" i="13"/>
  <c r="E9" i="14" s="1"/>
  <c r="F25" i="13"/>
  <c r="D9" i="14" s="1"/>
  <c r="E25" i="13"/>
  <c r="C9" i="14" s="1"/>
  <c r="I17" i="13"/>
  <c r="G8" i="14" s="1"/>
  <c r="H17" i="13"/>
  <c r="F8" i="14" s="1"/>
  <c r="G17" i="13"/>
  <c r="E8" i="14" s="1"/>
  <c r="F17" i="13"/>
  <c r="D8" i="14" s="1"/>
  <c r="E17" i="13"/>
  <c r="C8" i="14" s="1"/>
  <c r="F12" i="13"/>
  <c r="D7" i="14" s="1"/>
  <c r="G12" i="13"/>
  <c r="E7" i="14" s="1"/>
  <c r="H12" i="13"/>
  <c r="F7" i="14" s="1"/>
  <c r="I12" i="13"/>
  <c r="G7" i="14" s="1"/>
  <c r="E12" i="13"/>
  <c r="C7" i="14" s="1"/>
  <c r="D283" i="2"/>
  <c r="D162" i="2"/>
  <c r="D161" i="2"/>
  <c r="I257" i="8"/>
  <c r="I258" i="8" s="1"/>
  <c r="I260" i="8" s="1"/>
  <c r="I267" i="8" s="1"/>
  <c r="F257" i="8"/>
  <c r="F258" i="8" s="1"/>
  <c r="F260" i="8" s="1"/>
  <c r="F267" i="8" s="1"/>
  <c r="C127" i="2"/>
  <c r="C16" i="10" l="1"/>
  <c r="C18" i="10" s="1"/>
  <c r="C26" i="10" s="1"/>
  <c r="E36" i="19"/>
  <c r="E39" i="19" s="1"/>
  <c r="E55" i="19" s="1"/>
  <c r="E57" i="19" s="1"/>
  <c r="D34" i="19"/>
  <c r="D35" i="19"/>
  <c r="I83" i="18"/>
  <c r="G14" i="19"/>
  <c r="G22" i="19" s="1"/>
  <c r="G25" i="19" s="1"/>
  <c r="H83" i="18"/>
  <c r="F14" i="19"/>
  <c r="F22" i="19" s="1"/>
  <c r="F25" i="19" s="1"/>
  <c r="F34" i="19" s="1"/>
  <c r="F36" i="19" s="1"/>
  <c r="F39" i="19" s="1"/>
  <c r="J257" i="8"/>
  <c r="E31" i="13"/>
  <c r="G32" i="19"/>
  <c r="E11" i="14"/>
  <c r="B55" i="19"/>
  <c r="B57" i="19" s="1"/>
  <c r="F152" i="2"/>
  <c r="F154" i="2" s="1"/>
  <c r="D152" i="2"/>
  <c r="D154" i="2" s="1"/>
  <c r="E49" i="13"/>
  <c r="C15" i="14" s="1"/>
  <c r="F49" i="13"/>
  <c r="D15" i="14" s="1"/>
  <c r="G49" i="13"/>
  <c r="E15" i="14" s="1"/>
  <c r="D11" i="14"/>
  <c r="D55" i="14" s="1"/>
  <c r="D56" i="14" s="1"/>
  <c r="F11" i="14"/>
  <c r="C11" i="14"/>
  <c r="C55" i="14" s="1"/>
  <c r="G11" i="14"/>
  <c r="G31" i="13"/>
  <c r="F31" i="13"/>
  <c r="I31" i="13"/>
  <c r="H31" i="13"/>
  <c r="C152" i="2"/>
  <c r="C154" i="2" s="1"/>
  <c r="E152" i="2"/>
  <c r="E154" i="2" s="1"/>
  <c r="G189" i="8"/>
  <c r="G194" i="8" s="1"/>
  <c r="G196" i="8" s="1"/>
  <c r="G248" i="8" s="1"/>
  <c r="J189" i="8"/>
  <c r="J194" i="8" s="1"/>
  <c r="J196" i="8" s="1"/>
  <c r="J248" i="8" s="1"/>
  <c r="F189" i="8"/>
  <c r="F194" i="8" s="1"/>
  <c r="F196" i="8" s="1"/>
  <c r="F248" i="8" s="1"/>
  <c r="B246" i="2"/>
  <c r="B239" i="2"/>
  <c r="B232" i="2"/>
  <c r="B223" i="2"/>
  <c r="B213" i="2"/>
  <c r="B204" i="2"/>
  <c r="B194" i="2"/>
  <c r="B183" i="2"/>
  <c r="B174" i="2"/>
  <c r="G732" i="8"/>
  <c r="D254" i="2" s="1"/>
  <c r="H732" i="8"/>
  <c r="E254" i="2" s="1"/>
  <c r="I732" i="8"/>
  <c r="F254" i="2" s="1"/>
  <c r="F732" i="8"/>
  <c r="C254" i="2" s="1"/>
  <c r="G728" i="8"/>
  <c r="H728" i="8"/>
  <c r="E253" i="2" s="1"/>
  <c r="I728" i="8"/>
  <c r="F253" i="2" s="1"/>
  <c r="F728" i="8"/>
  <c r="D251" i="2"/>
  <c r="E251" i="2"/>
  <c r="F251" i="2"/>
  <c r="C251" i="2"/>
  <c r="G708" i="8"/>
  <c r="D250" i="2" s="1"/>
  <c r="H708" i="8"/>
  <c r="E250" i="2" s="1"/>
  <c r="I708" i="8"/>
  <c r="F250" i="2" s="1"/>
  <c r="F708" i="8"/>
  <c r="C250" i="2" s="1"/>
  <c r="G702" i="8"/>
  <c r="H702" i="8"/>
  <c r="F702" i="8"/>
  <c r="G698" i="8"/>
  <c r="H698" i="8"/>
  <c r="I698" i="8"/>
  <c r="F698" i="8"/>
  <c r="G690" i="8"/>
  <c r="D245" i="2" s="1"/>
  <c r="H690" i="8"/>
  <c r="E245" i="2" s="1"/>
  <c r="I690" i="8"/>
  <c r="F245" i="2" s="1"/>
  <c r="F690" i="8"/>
  <c r="C245" i="2" s="1"/>
  <c r="G686" i="8"/>
  <c r="D244" i="2" s="1"/>
  <c r="H686" i="8"/>
  <c r="E244" i="2" s="1"/>
  <c r="I686" i="8"/>
  <c r="F244" i="2" s="1"/>
  <c r="F686" i="8"/>
  <c r="C244" i="2" s="1"/>
  <c r="D243" i="2"/>
  <c r="E243" i="2"/>
  <c r="F243" i="2"/>
  <c r="C243" i="2"/>
  <c r="G673" i="8"/>
  <c r="H673" i="8"/>
  <c r="F673" i="8"/>
  <c r="G669" i="8"/>
  <c r="H669" i="8"/>
  <c r="I669" i="8"/>
  <c r="F669" i="8"/>
  <c r="G661" i="8"/>
  <c r="D238" i="2" s="1"/>
  <c r="H661" i="8"/>
  <c r="E238" i="2" s="1"/>
  <c r="I661" i="8"/>
  <c r="F238" i="2" s="1"/>
  <c r="J661" i="8"/>
  <c r="G238" i="2" s="1"/>
  <c r="F661" i="8"/>
  <c r="C238" i="2" s="1"/>
  <c r="G657" i="8"/>
  <c r="D237" i="2" s="1"/>
  <c r="H657" i="8"/>
  <c r="E237" i="2" s="1"/>
  <c r="I657" i="8"/>
  <c r="F237" i="2" s="1"/>
  <c r="J657" i="8"/>
  <c r="G237" i="2" s="1"/>
  <c r="F657" i="8"/>
  <c r="C237" i="2" s="1"/>
  <c r="G653" i="8"/>
  <c r="H653" i="8"/>
  <c r="I653" i="8"/>
  <c r="J653" i="8"/>
  <c r="F653" i="8"/>
  <c r="D235" i="2"/>
  <c r="E235" i="2"/>
  <c r="F235" i="2"/>
  <c r="G235" i="2"/>
  <c r="C235" i="2"/>
  <c r="G638" i="8"/>
  <c r="D231" i="2" s="1"/>
  <c r="H638" i="8"/>
  <c r="E231" i="2" s="1"/>
  <c r="I638" i="8"/>
  <c r="F231" i="2" s="1"/>
  <c r="J638" i="8"/>
  <c r="G231" i="2" s="1"/>
  <c r="F638" i="8"/>
  <c r="C231" i="2" s="1"/>
  <c r="G634" i="8"/>
  <c r="D230" i="2" s="1"/>
  <c r="H634" i="8"/>
  <c r="E230" i="2" s="1"/>
  <c r="I634" i="8"/>
  <c r="F230" i="2" s="1"/>
  <c r="J634" i="8"/>
  <c r="G230" i="2" s="1"/>
  <c r="F634" i="8"/>
  <c r="C230" i="2" s="1"/>
  <c r="G630" i="8"/>
  <c r="D229" i="2" s="1"/>
  <c r="H630" i="8"/>
  <c r="E229" i="2" s="1"/>
  <c r="I630" i="8"/>
  <c r="F229" i="2" s="1"/>
  <c r="J630" i="8"/>
  <c r="G229" i="2" s="1"/>
  <c r="F630" i="8"/>
  <c r="C229" i="2" s="1"/>
  <c r="D228" i="2"/>
  <c r="E228" i="2"/>
  <c r="F228" i="2"/>
  <c r="G228" i="2"/>
  <c r="C228" i="2"/>
  <c r="D227" i="2"/>
  <c r="E227" i="2"/>
  <c r="F227" i="2"/>
  <c r="G227" i="2"/>
  <c r="C227" i="2"/>
  <c r="G613" i="8"/>
  <c r="H613" i="8"/>
  <c r="F613" i="8"/>
  <c r="G609" i="8"/>
  <c r="H609" i="8"/>
  <c r="I609" i="8"/>
  <c r="J609" i="8"/>
  <c r="F609" i="8"/>
  <c r="G601" i="8"/>
  <c r="D222" i="2" s="1"/>
  <c r="H601" i="8"/>
  <c r="E222" i="2" s="1"/>
  <c r="I601" i="8"/>
  <c r="F222" i="2" s="1"/>
  <c r="J601" i="8"/>
  <c r="G222" i="2" s="1"/>
  <c r="F601" i="8"/>
  <c r="C222" i="2" s="1"/>
  <c r="G597" i="8"/>
  <c r="D221" i="2" s="1"/>
  <c r="H597" i="8"/>
  <c r="E221" i="2" s="1"/>
  <c r="I597" i="8"/>
  <c r="F221" i="2" s="1"/>
  <c r="J597" i="8"/>
  <c r="G221" i="2" s="1"/>
  <c r="C221" i="2"/>
  <c r="D220" i="2"/>
  <c r="E220" i="2"/>
  <c r="F220" i="2"/>
  <c r="G220" i="2"/>
  <c r="C220" i="2"/>
  <c r="G582" i="8"/>
  <c r="D219" i="2" s="1"/>
  <c r="H582" i="8"/>
  <c r="E219" i="2" s="1"/>
  <c r="I582" i="8"/>
  <c r="F219" i="2" s="1"/>
  <c r="J582" i="8"/>
  <c r="G219" i="2" s="1"/>
  <c r="F582" i="8"/>
  <c r="C219" i="2" s="1"/>
  <c r="D218" i="2"/>
  <c r="E218" i="2"/>
  <c r="F218" i="2"/>
  <c r="G218" i="2"/>
  <c r="C218" i="2"/>
  <c r="G571" i="8"/>
  <c r="D217" i="2" s="1"/>
  <c r="H571" i="8"/>
  <c r="E217" i="2" s="1"/>
  <c r="I571" i="8"/>
  <c r="F217" i="2" s="1"/>
  <c r="J571" i="8"/>
  <c r="G217" i="2" s="1"/>
  <c r="F571" i="8"/>
  <c r="C217" i="2" s="1"/>
  <c r="G565" i="8"/>
  <c r="H565" i="8"/>
  <c r="F565" i="8"/>
  <c r="G561" i="8"/>
  <c r="H561" i="8"/>
  <c r="I561" i="8"/>
  <c r="I565" i="8" s="1"/>
  <c r="J561" i="8"/>
  <c r="J565" i="8" s="1"/>
  <c r="F561" i="8"/>
  <c r="G553" i="8"/>
  <c r="D212" i="2" s="1"/>
  <c r="H553" i="8"/>
  <c r="E212" i="2" s="1"/>
  <c r="I553" i="8"/>
  <c r="F212" i="2" s="1"/>
  <c r="J553" i="8"/>
  <c r="G212" i="2" s="1"/>
  <c r="F553" i="8"/>
  <c r="C212" i="2" s="1"/>
  <c r="G549" i="8"/>
  <c r="D211" i="2" s="1"/>
  <c r="H549" i="8"/>
  <c r="E211" i="2" s="1"/>
  <c r="I549" i="8"/>
  <c r="F211" i="2" s="1"/>
  <c r="J549" i="8"/>
  <c r="G211" i="2" s="1"/>
  <c r="F549" i="8"/>
  <c r="C211" i="2" s="1"/>
  <c r="G545" i="8"/>
  <c r="D210" i="2" s="1"/>
  <c r="H545" i="8"/>
  <c r="E210" i="2" s="1"/>
  <c r="I545" i="8"/>
  <c r="F210" i="2" s="1"/>
  <c r="J545" i="8"/>
  <c r="G210" i="2" s="1"/>
  <c r="F545" i="8"/>
  <c r="C210" i="2" s="1"/>
  <c r="G541" i="8"/>
  <c r="D209" i="2" s="1"/>
  <c r="H541" i="8"/>
  <c r="E209" i="2" s="1"/>
  <c r="F209" i="2"/>
  <c r="J541" i="8"/>
  <c r="G209" i="2" s="1"/>
  <c r="F541" i="8"/>
  <c r="C209" i="2" s="1"/>
  <c r="D208" i="2"/>
  <c r="E208" i="2"/>
  <c r="F208" i="2"/>
  <c r="G208" i="2"/>
  <c r="C208" i="2"/>
  <c r="G530" i="8"/>
  <c r="H530" i="8"/>
  <c r="F530" i="8"/>
  <c r="G526" i="8"/>
  <c r="I526" i="8"/>
  <c r="J526" i="8"/>
  <c r="F526" i="8"/>
  <c r="G514" i="8"/>
  <c r="D202" i="2" s="1"/>
  <c r="H514" i="8"/>
  <c r="E202" i="2" s="1"/>
  <c r="I514" i="8"/>
  <c r="F202" i="2" s="1"/>
  <c r="J514" i="8"/>
  <c r="G202" i="2" s="1"/>
  <c r="F514" i="8"/>
  <c r="C202" i="2" s="1"/>
  <c r="G518" i="8"/>
  <c r="D203" i="2" s="1"/>
  <c r="H518" i="8"/>
  <c r="E203" i="2" s="1"/>
  <c r="I518" i="8"/>
  <c r="F203" i="2" s="1"/>
  <c r="J518" i="8"/>
  <c r="G203" i="2" s="1"/>
  <c r="F518" i="8"/>
  <c r="C203" i="2" s="1"/>
  <c r="D201" i="2"/>
  <c r="E201" i="2"/>
  <c r="F201" i="2"/>
  <c r="G201" i="2"/>
  <c r="C201" i="2"/>
  <c r="D200" i="2"/>
  <c r="E200" i="2"/>
  <c r="F200" i="2"/>
  <c r="C200" i="2"/>
  <c r="D199" i="2"/>
  <c r="E199" i="2"/>
  <c r="F199" i="2"/>
  <c r="G199" i="2"/>
  <c r="C199" i="2"/>
  <c r="G485" i="8"/>
  <c r="D198" i="2" s="1"/>
  <c r="H485" i="8"/>
  <c r="E198" i="2" s="1"/>
  <c r="I485" i="8"/>
  <c r="F198" i="2" s="1"/>
  <c r="J485" i="8"/>
  <c r="G198" i="2" s="1"/>
  <c r="F485" i="8"/>
  <c r="C198" i="2" s="1"/>
  <c r="H479" i="8"/>
  <c r="G475" i="8"/>
  <c r="H475" i="8"/>
  <c r="I475" i="8"/>
  <c r="J475" i="8"/>
  <c r="F478" i="8"/>
  <c r="F479" i="8" s="1"/>
  <c r="F481" i="8" s="1"/>
  <c r="G466" i="8"/>
  <c r="D193" i="2" s="1"/>
  <c r="H466" i="8"/>
  <c r="E193" i="2" s="1"/>
  <c r="I466" i="8"/>
  <c r="F193" i="2" s="1"/>
  <c r="J466" i="8"/>
  <c r="G193" i="2" s="1"/>
  <c r="C193" i="2"/>
  <c r="G456" i="8"/>
  <c r="D191" i="2" s="1"/>
  <c r="H456" i="8"/>
  <c r="E191" i="2" s="1"/>
  <c r="I456" i="8"/>
  <c r="F191" i="2" s="1"/>
  <c r="J456" i="8"/>
  <c r="G191" i="2" s="1"/>
  <c r="C191" i="2"/>
  <c r="G452" i="8"/>
  <c r="H452" i="8"/>
  <c r="I452" i="8"/>
  <c r="F190" i="2" s="1"/>
  <c r="J452" i="8"/>
  <c r="G190" i="2" s="1"/>
  <c r="C190" i="2"/>
  <c r="D189" i="2"/>
  <c r="E189" i="2"/>
  <c r="F189" i="2"/>
  <c r="G189" i="2"/>
  <c r="C189" i="2"/>
  <c r="D188" i="2"/>
  <c r="E188" i="2"/>
  <c r="F188" i="2"/>
  <c r="G188" i="2"/>
  <c r="C188" i="2"/>
  <c r="D187" i="2"/>
  <c r="E187" i="2"/>
  <c r="F187" i="2"/>
  <c r="G187" i="2"/>
  <c r="C187" i="2"/>
  <c r="I421" i="8"/>
  <c r="I423" i="8" s="1"/>
  <c r="I425" i="8" s="1"/>
  <c r="J421" i="8"/>
  <c r="J423" i="8" s="1"/>
  <c r="J425" i="8" s="1"/>
  <c r="H704" i="8" l="1"/>
  <c r="H615" i="8"/>
  <c r="G704" i="8"/>
  <c r="H481" i="8"/>
  <c r="H520" i="8" s="1"/>
  <c r="D36" i="19"/>
  <c r="D39" i="19" s="1"/>
  <c r="D55" i="19" s="1"/>
  <c r="D57" i="19" s="1"/>
  <c r="H640" i="8"/>
  <c r="H532" i="8"/>
  <c r="H555" i="8" s="1"/>
  <c r="G615" i="8"/>
  <c r="G640" i="8" s="1"/>
  <c r="I468" i="8"/>
  <c r="F520" i="8"/>
  <c r="H734" i="8"/>
  <c r="G734" i="8"/>
  <c r="J468" i="8"/>
  <c r="F615" i="8"/>
  <c r="C226" i="2" s="1"/>
  <c r="C232" i="2" s="1"/>
  <c r="F532" i="8"/>
  <c r="F555" i="8" s="1"/>
  <c r="I613" i="8"/>
  <c r="I615" i="8" s="1"/>
  <c r="C236" i="2"/>
  <c r="C239" i="2" s="1"/>
  <c r="F663" i="8"/>
  <c r="D190" i="2"/>
  <c r="G468" i="8"/>
  <c r="G236" i="2"/>
  <c r="G239" i="2" s="1"/>
  <c r="J663" i="8"/>
  <c r="F236" i="2"/>
  <c r="F239" i="2" s="1"/>
  <c r="I663" i="8"/>
  <c r="G532" i="8"/>
  <c r="G555" i="8" s="1"/>
  <c r="E236" i="2"/>
  <c r="E239" i="2" s="1"/>
  <c r="H663" i="8"/>
  <c r="G478" i="8"/>
  <c r="G479" i="8" s="1"/>
  <c r="G481" i="8" s="1"/>
  <c r="D236" i="2"/>
  <c r="D239" i="2" s="1"/>
  <c r="G663" i="8"/>
  <c r="F704" i="8"/>
  <c r="F734" i="8" s="1"/>
  <c r="E190" i="2"/>
  <c r="H468" i="8"/>
  <c r="J613" i="8"/>
  <c r="J615" i="8" s="1"/>
  <c r="J640" i="8" s="1"/>
  <c r="J258" i="8"/>
  <c r="J260" i="8" s="1"/>
  <c r="J267" i="8" s="1"/>
  <c r="I189" i="8"/>
  <c r="I194" i="8" s="1"/>
  <c r="I196" i="8" s="1"/>
  <c r="I529" i="8"/>
  <c r="I530" i="8" s="1"/>
  <c r="I532" i="8" s="1"/>
  <c r="I555" i="8" s="1"/>
  <c r="I672" i="8"/>
  <c r="I673" i="8" s="1"/>
  <c r="I675" i="8" s="1"/>
  <c r="J529" i="8"/>
  <c r="J530" i="8" s="1"/>
  <c r="I701" i="8"/>
  <c r="I702" i="8" s="1"/>
  <c r="I478" i="8"/>
  <c r="I479" i="8" s="1"/>
  <c r="I481" i="8" s="1"/>
  <c r="I520" i="8" s="1"/>
  <c r="J478" i="8"/>
  <c r="J479" i="8" s="1"/>
  <c r="D253" i="2"/>
  <c r="C253" i="2"/>
  <c r="G34" i="19"/>
  <c r="D142" i="2"/>
  <c r="H48" i="13"/>
  <c r="H49" i="13" s="1"/>
  <c r="C142" i="2"/>
  <c r="I48" i="13"/>
  <c r="I49" i="13" s="1"/>
  <c r="C55" i="19"/>
  <c r="C57" i="19" s="1"/>
  <c r="E142" i="2"/>
  <c r="C25" i="14"/>
  <c r="C28" i="14" s="1"/>
  <c r="E126" i="13"/>
  <c r="E25" i="14"/>
  <c r="E28" i="14" s="1"/>
  <c r="G126" i="13"/>
  <c r="D25" i="14"/>
  <c r="D28" i="14" s="1"/>
  <c r="F126" i="13"/>
  <c r="E249" i="2"/>
  <c r="E255" i="2" s="1"/>
  <c r="D249" i="2"/>
  <c r="F675" i="8"/>
  <c r="G675" i="8"/>
  <c r="H675" i="8"/>
  <c r="I567" i="8"/>
  <c r="H567" i="8"/>
  <c r="H603" i="8" s="1"/>
  <c r="D207" i="2"/>
  <c r="D213" i="2" s="1"/>
  <c r="J567" i="8"/>
  <c r="J603" i="8" s="1"/>
  <c r="F567" i="8"/>
  <c r="G567" i="8"/>
  <c r="G603" i="8" s="1"/>
  <c r="E186" i="2"/>
  <c r="E197" i="2"/>
  <c r="E204" i="2" s="1"/>
  <c r="C197" i="2"/>
  <c r="C204" i="2" s="1"/>
  <c r="C186" i="2"/>
  <c r="C194" i="2" s="1"/>
  <c r="F640" i="8" l="1"/>
  <c r="E194" i="2"/>
  <c r="C249" i="2"/>
  <c r="C255" i="2" s="1"/>
  <c r="G520" i="8"/>
  <c r="D197" i="2"/>
  <c r="D204" i="2" s="1"/>
  <c r="I248" i="8"/>
  <c r="F142" i="2"/>
  <c r="I640" i="8"/>
  <c r="F226" i="2"/>
  <c r="F232" i="2" s="1"/>
  <c r="F216" i="2"/>
  <c r="F223" i="2" s="1"/>
  <c r="I603" i="8"/>
  <c r="C216" i="2"/>
  <c r="C223" i="2" s="1"/>
  <c r="F603" i="8"/>
  <c r="G152" i="2"/>
  <c r="G154" i="2" s="1"/>
  <c r="F197" i="2"/>
  <c r="F204" i="2" s="1"/>
  <c r="E242" i="2"/>
  <c r="E246" i="2" s="1"/>
  <c r="H692" i="8"/>
  <c r="H753" i="8" s="1"/>
  <c r="I704" i="8"/>
  <c r="I734" i="8" s="1"/>
  <c r="J481" i="8"/>
  <c r="J520" i="8" s="1"/>
  <c r="D242" i="2"/>
  <c r="D246" i="2" s="1"/>
  <c r="G692" i="8"/>
  <c r="F242" i="2"/>
  <c r="F246" i="2" s="1"/>
  <c r="I692" i="8"/>
  <c r="C242" i="2"/>
  <c r="C246" i="2" s="1"/>
  <c r="F692" i="8"/>
  <c r="F207" i="2"/>
  <c r="F213" i="2" s="1"/>
  <c r="J532" i="8"/>
  <c r="J555" i="8" s="1"/>
  <c r="G36" i="19"/>
  <c r="G39" i="19" s="1"/>
  <c r="G55" i="19" s="1"/>
  <c r="G57" i="19" s="1"/>
  <c r="D38" i="14"/>
  <c r="D37" i="14"/>
  <c r="F55" i="19"/>
  <c r="F57" i="19" s="1"/>
  <c r="D255" i="2"/>
  <c r="G15" i="14"/>
  <c r="G25" i="14" s="1"/>
  <c r="G28" i="14" s="1"/>
  <c r="F15" i="14"/>
  <c r="F25" i="14" s="1"/>
  <c r="F28" i="14" s="1"/>
  <c r="D216" i="2"/>
  <c r="D223" i="2" s="1"/>
  <c r="C207" i="2"/>
  <c r="C213" i="2" s="1"/>
  <c r="E216" i="2"/>
  <c r="E223" i="2" s="1"/>
  <c r="E226" i="2"/>
  <c r="E232" i="2" s="1"/>
  <c r="E207" i="2"/>
  <c r="E213" i="2" s="1"/>
  <c r="G226" i="2"/>
  <c r="G232" i="2" s="1"/>
  <c r="D226" i="2"/>
  <c r="D232" i="2" s="1"/>
  <c r="D186" i="2"/>
  <c r="D194" i="2" s="1"/>
  <c r="G216" i="2"/>
  <c r="G223" i="2" s="1"/>
  <c r="H126" i="13"/>
  <c r="I126" i="13"/>
  <c r="D39" i="14" l="1"/>
  <c r="D42" i="14" s="1"/>
  <c r="G753" i="8"/>
  <c r="G207" i="2"/>
  <c r="G213" i="2" s="1"/>
  <c r="F249" i="2"/>
  <c r="F255" i="2" s="1"/>
  <c r="G197" i="2"/>
  <c r="F186" i="2"/>
  <c r="F194" i="2" s="1"/>
  <c r="G186" i="2"/>
  <c r="G194" i="2" s="1"/>
  <c r="D182" i="2"/>
  <c r="E182" i="2"/>
  <c r="F182" i="2"/>
  <c r="G182" i="2"/>
  <c r="C182" i="2"/>
  <c r="D181" i="2"/>
  <c r="E181" i="2"/>
  <c r="F181" i="2"/>
  <c r="G181" i="2"/>
  <c r="C181" i="2"/>
  <c r="D180" i="2"/>
  <c r="E180" i="2"/>
  <c r="F180" i="2"/>
  <c r="G180" i="2"/>
  <c r="C180" i="2"/>
  <c r="I381" i="8"/>
  <c r="I382" i="8" s="1"/>
  <c r="I384" i="8" s="1"/>
  <c r="I410" i="8" s="1"/>
  <c r="J381" i="8"/>
  <c r="J382" i="8" s="1"/>
  <c r="J384" i="8" s="1"/>
  <c r="J410" i="8" s="1"/>
  <c r="D171" i="2"/>
  <c r="E171" i="2"/>
  <c r="F171" i="2"/>
  <c r="G171" i="2"/>
  <c r="C171" i="2"/>
  <c r="D170" i="2"/>
  <c r="E170" i="2"/>
  <c r="F170" i="2"/>
  <c r="G170" i="2"/>
  <c r="C170" i="2"/>
  <c r="D169" i="2"/>
  <c r="E169" i="2"/>
  <c r="F169" i="2"/>
  <c r="G169" i="2"/>
  <c r="C169" i="2"/>
  <c r="D168" i="2"/>
  <c r="E168" i="2"/>
  <c r="F168" i="2"/>
  <c r="G168" i="2"/>
  <c r="C168" i="2"/>
  <c r="I331" i="8"/>
  <c r="I333" i="8" s="1"/>
  <c r="I335" i="8" s="1"/>
  <c r="I371" i="8" s="1"/>
  <c r="J332" i="8"/>
  <c r="I753" i="8" l="1"/>
  <c r="J331" i="8"/>
  <c r="J333" i="8" s="1"/>
  <c r="J335" i="8" s="1"/>
  <c r="J371" i="8" s="1"/>
  <c r="G177" i="2"/>
  <c r="G183" i="2" s="1"/>
  <c r="C177" i="2"/>
  <c r="C183" i="2" s="1"/>
  <c r="D177" i="2"/>
  <c r="D183" i="2" s="1"/>
  <c r="E177" i="2"/>
  <c r="E183" i="2" s="1"/>
  <c r="F177" i="2"/>
  <c r="F183" i="2" s="1"/>
  <c r="E167" i="2"/>
  <c r="E174" i="2" s="1"/>
  <c r="D167" i="2"/>
  <c r="D174" i="2" s="1"/>
  <c r="D163" i="2"/>
  <c r="E163" i="2"/>
  <c r="F163" i="2"/>
  <c r="G163" i="2"/>
  <c r="D160" i="2"/>
  <c r="E160" i="2"/>
  <c r="F160" i="2"/>
  <c r="G160" i="2"/>
  <c r="C160" i="2"/>
  <c r="D159" i="2"/>
  <c r="E159" i="2"/>
  <c r="F159" i="2"/>
  <c r="G159" i="2"/>
  <c r="D158" i="2"/>
  <c r="E158" i="2"/>
  <c r="F158" i="2"/>
  <c r="G158" i="2"/>
  <c r="C158" i="2"/>
  <c r="D146" i="2"/>
  <c r="E146" i="2"/>
  <c r="F146" i="2"/>
  <c r="G146" i="2"/>
  <c r="C146" i="2"/>
  <c r="D145" i="2"/>
  <c r="E145" i="2"/>
  <c r="F145" i="2"/>
  <c r="G145" i="2"/>
  <c r="C145" i="2"/>
  <c r="D144" i="2"/>
  <c r="E144" i="2"/>
  <c r="G144" i="2"/>
  <c r="C144" i="2"/>
  <c r="C167" i="2" l="1"/>
  <c r="C174" i="2" s="1"/>
  <c r="J278" i="8"/>
  <c r="J279" i="8"/>
  <c r="C157" i="2"/>
  <c r="D157" i="2"/>
  <c r="D164" i="2" s="1"/>
  <c r="F143" i="2"/>
  <c r="G143" i="2"/>
  <c r="D138" i="2"/>
  <c r="D139" i="2" s="1"/>
  <c r="E138" i="2"/>
  <c r="E139" i="2" s="1"/>
  <c r="F138" i="2"/>
  <c r="F139" i="2" s="1"/>
  <c r="B139" i="2"/>
  <c r="D134" i="2"/>
  <c r="E134" i="2"/>
  <c r="F134" i="2"/>
  <c r="G134" i="2"/>
  <c r="D133" i="2"/>
  <c r="E133" i="2"/>
  <c r="F133" i="2"/>
  <c r="G133" i="2"/>
  <c r="C133" i="2"/>
  <c r="D132" i="2"/>
  <c r="E132" i="2"/>
  <c r="F132" i="2"/>
  <c r="G132" i="2"/>
  <c r="C132" i="2"/>
  <c r="B129" i="2"/>
  <c r="D128" i="2"/>
  <c r="E128" i="2"/>
  <c r="F128" i="2"/>
  <c r="G128" i="2"/>
  <c r="G129" i="2" s="1"/>
  <c r="C128" i="2"/>
  <c r="C129" i="2" s="1"/>
  <c r="J280" i="8" l="1"/>
  <c r="J282" i="8" s="1"/>
  <c r="J321" i="8" s="1"/>
  <c r="J753" i="8" s="1"/>
  <c r="G135" i="2"/>
  <c r="C143" i="2"/>
  <c r="C149" i="2" s="1"/>
  <c r="F135" i="2"/>
  <c r="E135" i="2"/>
  <c r="G138" i="2"/>
  <c r="G139" i="2" s="1"/>
  <c r="D135" i="2"/>
  <c r="E143" i="2"/>
  <c r="E149" i="2" s="1"/>
  <c r="D143" i="2"/>
  <c r="D149" i="2" s="1"/>
  <c r="G167" i="2"/>
  <c r="G174" i="2" s="1"/>
  <c r="F167" i="2"/>
  <c r="F174" i="2" s="1"/>
  <c r="B91" i="2" l="1"/>
  <c r="B74" i="2"/>
  <c r="B69" i="2"/>
  <c r="B22" i="2"/>
  <c r="B26" i="2"/>
  <c r="B111" i="2"/>
  <c r="D103" i="2"/>
  <c r="E103" i="2"/>
  <c r="F103" i="2"/>
  <c r="C103" i="2"/>
  <c r="B97" i="2"/>
  <c r="B81" i="2"/>
  <c r="E74" i="2"/>
  <c r="B40" i="2"/>
  <c r="D26" i="2"/>
  <c r="E26" i="2"/>
  <c r="F26" i="2"/>
  <c r="C26" i="2"/>
  <c r="B121" i="2" l="1"/>
  <c r="D74" i="2"/>
  <c r="F74" i="2"/>
  <c r="C74" i="2"/>
  <c r="D97" i="2"/>
  <c r="F117" i="2"/>
  <c r="C40" i="2"/>
  <c r="D40" i="2"/>
  <c r="C69" i="2"/>
  <c r="D69" i="2"/>
  <c r="E81" i="2"/>
  <c r="F111" i="2"/>
  <c r="C111" i="2"/>
  <c r="E117" i="2"/>
  <c r="C81" i="2"/>
  <c r="D81" i="2"/>
  <c r="E97" i="2"/>
  <c r="C117" i="2"/>
  <c r="D117" i="2"/>
  <c r="D22" i="2"/>
  <c r="E22" i="2"/>
  <c r="F40" i="2"/>
  <c r="C22" i="2"/>
  <c r="F81" i="2"/>
  <c r="D91" i="2"/>
  <c r="C97" i="2"/>
  <c r="E111" i="2"/>
  <c r="F22" i="2"/>
  <c r="E40" i="2"/>
  <c r="E69" i="2"/>
  <c r="F97" i="2"/>
  <c r="D111" i="2"/>
  <c r="F91" i="2"/>
  <c r="C91" i="2"/>
  <c r="F69" i="2"/>
  <c r="E91" i="2"/>
  <c r="F121" i="2" l="1"/>
  <c r="E121" i="2"/>
  <c r="C121" i="2"/>
  <c r="D121" i="2"/>
  <c r="B14" i="24" l="1"/>
  <c r="E21" i="24" l="1"/>
  <c r="B21" i="24"/>
  <c r="B24" i="24" s="1"/>
  <c r="F21" i="24"/>
  <c r="D21" i="24"/>
  <c r="D24" i="24" s="1"/>
  <c r="F24" i="24" l="1"/>
  <c r="F263" i="2"/>
  <c r="E24" i="24"/>
  <c r="E263" i="2"/>
  <c r="I36" i="23"/>
  <c r="I37" i="23" s="1"/>
  <c r="G13" i="22" s="1"/>
  <c r="H36" i="23"/>
  <c r="G36" i="23"/>
  <c r="G37" i="23" s="1"/>
  <c r="E13" i="22" s="1"/>
  <c r="E36" i="23"/>
  <c r="E41" i="23"/>
  <c r="C14" i="22" s="1"/>
  <c r="I60" i="23"/>
  <c r="G16" i="22" s="1"/>
  <c r="H60" i="23"/>
  <c r="F16" i="22" s="1"/>
  <c r="G60" i="23"/>
  <c r="E16" i="22" s="1"/>
  <c r="E60" i="23"/>
  <c r="C16" i="22" s="1"/>
  <c r="I54" i="23"/>
  <c r="G15" i="22" s="1"/>
  <c r="H54" i="23"/>
  <c r="F15" i="22" s="1"/>
  <c r="G54" i="23"/>
  <c r="E15" i="22" s="1"/>
  <c r="E54" i="23"/>
  <c r="C15" i="22" s="1"/>
  <c r="E30" i="23"/>
  <c r="B29" i="22"/>
  <c r="F29" i="22"/>
  <c r="E29" i="22"/>
  <c r="C29" i="22"/>
  <c r="G21" i="22" l="1"/>
  <c r="E21" i="22"/>
  <c r="H37" i="23"/>
  <c r="F13" i="22" s="1"/>
  <c r="F21" i="22" s="1"/>
  <c r="E37" i="23"/>
  <c r="C13" i="22" s="1"/>
  <c r="C21" i="22" s="1"/>
  <c r="I20" i="23"/>
  <c r="C9" i="22"/>
  <c r="C47" i="22" s="1"/>
  <c r="E20" i="23"/>
  <c r="F47" i="22"/>
  <c r="H20" i="23"/>
  <c r="B23" i="22"/>
  <c r="B31" i="22" s="1"/>
  <c r="B33" i="22" s="1"/>
  <c r="B36" i="22" s="1"/>
  <c r="B49" i="22" l="1"/>
  <c r="F35" i="22"/>
  <c r="C35" i="22"/>
  <c r="E35" i="22"/>
  <c r="H77" i="23"/>
  <c r="E77" i="23"/>
  <c r="G47" i="22"/>
  <c r="I77" i="23"/>
  <c r="B51" i="22"/>
  <c r="G77" i="23"/>
  <c r="G29" i="22" l="1"/>
  <c r="F23" i="22"/>
  <c r="F31" i="22" s="1"/>
  <c r="C23" i="22"/>
  <c r="C31" i="22" s="1"/>
  <c r="C33" i="22" s="1"/>
  <c r="C36" i="22" s="1"/>
  <c r="C49" i="22" s="1"/>
  <c r="F33" i="22" l="1"/>
  <c r="F36" i="22" s="1"/>
  <c r="G35" i="22" s="1"/>
  <c r="G23" i="22"/>
  <c r="G31" i="22" s="1"/>
  <c r="G33" i="22" s="1"/>
  <c r="C51" i="22"/>
  <c r="G36" i="22" l="1"/>
  <c r="G49" i="22" s="1"/>
  <c r="G51" i="22" s="1"/>
  <c r="F49" i="22"/>
  <c r="F51" i="22" s="1"/>
  <c r="B154" i="2" l="1"/>
  <c r="G200" i="2" l="1"/>
  <c r="G204" i="2" s="1"/>
  <c r="G142" i="2" l="1"/>
  <c r="G149" i="2" s="1"/>
  <c r="F149" i="2" l="1"/>
  <c r="E33" i="14"/>
  <c r="E35" i="14" s="1"/>
  <c r="E37" i="14" s="1"/>
  <c r="E39" i="14" s="1"/>
  <c r="G33" i="14"/>
  <c r="B11" i="14"/>
  <c r="B164" i="2"/>
  <c r="G37" i="12"/>
  <c r="F37" i="12"/>
  <c r="E37" i="12"/>
  <c r="C37" i="12"/>
  <c r="B37" i="12"/>
  <c r="B39" i="12" s="1"/>
  <c r="G25" i="12"/>
  <c r="F25" i="12"/>
  <c r="E25" i="12"/>
  <c r="C25" i="12"/>
  <c r="G38" i="11"/>
  <c r="E17" i="12" s="1"/>
  <c r="H38" i="11"/>
  <c r="F17" i="12" s="1"/>
  <c r="I38" i="11"/>
  <c r="G17" i="12" s="1"/>
  <c r="E38" i="11"/>
  <c r="C17" i="12" s="1"/>
  <c r="G34" i="11"/>
  <c r="E16" i="12" s="1"/>
  <c r="H34" i="11"/>
  <c r="F16" i="12" s="1"/>
  <c r="I34" i="11"/>
  <c r="G16" i="12" s="1"/>
  <c r="E34" i="11"/>
  <c r="C16" i="12" s="1"/>
  <c r="G28" i="11"/>
  <c r="E15" i="12" s="1"/>
  <c r="H28" i="11"/>
  <c r="F15" i="12" s="1"/>
  <c r="I28" i="11"/>
  <c r="G15" i="12" s="1"/>
  <c r="E28" i="11"/>
  <c r="C15" i="12" s="1"/>
  <c r="G24" i="11"/>
  <c r="E14" i="12" s="1"/>
  <c r="H24" i="11"/>
  <c r="F14" i="12" s="1"/>
  <c r="F18" i="12" s="1"/>
  <c r="I24" i="11"/>
  <c r="G14" i="12" s="1"/>
  <c r="G18" i="12" s="1"/>
  <c r="E24" i="11"/>
  <c r="C14" i="12" s="1"/>
  <c r="G14" i="11"/>
  <c r="E9" i="12" s="1"/>
  <c r="I14" i="11"/>
  <c r="G9" i="12" s="1"/>
  <c r="H14" i="11"/>
  <c r="F9" i="12" s="1"/>
  <c r="E14" i="11"/>
  <c r="C9" i="12" s="1"/>
  <c r="G10" i="11"/>
  <c r="E8" i="12" s="1"/>
  <c r="E10" i="12" s="1"/>
  <c r="I10" i="11"/>
  <c r="G8" i="12" s="1"/>
  <c r="G10" i="12" s="1"/>
  <c r="H10" i="11"/>
  <c r="F8" i="12" s="1"/>
  <c r="E10" i="11"/>
  <c r="C8" i="12" s="1"/>
  <c r="F283" i="2"/>
  <c r="E283" i="2"/>
  <c r="C283" i="2"/>
  <c r="C285" i="2" s="1"/>
  <c r="C288" i="2" s="1"/>
  <c r="B8" i="10"/>
  <c r="D37" i="10"/>
  <c r="D39" i="10" s="1"/>
  <c r="B37" i="10"/>
  <c r="G10" i="9"/>
  <c r="G12" i="9" s="1"/>
  <c r="H10" i="9"/>
  <c r="H12" i="9" s="1"/>
  <c r="I10" i="9"/>
  <c r="I12" i="9" s="1"/>
  <c r="E10" i="9"/>
  <c r="E12" i="9" s="1"/>
  <c r="E18" i="12" l="1"/>
  <c r="C10" i="12"/>
  <c r="E20" i="12"/>
  <c r="E27" i="12" s="1"/>
  <c r="F10" i="12"/>
  <c r="F20" i="12" s="1"/>
  <c r="F27" i="12" s="1"/>
  <c r="G20" i="12"/>
  <c r="G27" i="12" s="1"/>
  <c r="C18" i="12"/>
  <c r="B18" i="10"/>
  <c r="B26" i="10" s="1"/>
  <c r="B29" i="10" s="1"/>
  <c r="B28" i="14"/>
  <c r="B56" i="14"/>
  <c r="I16" i="11"/>
  <c r="G16" i="11"/>
  <c r="E16" i="11"/>
  <c r="B35" i="14"/>
  <c r="G35" i="14"/>
  <c r="G37" i="14" s="1"/>
  <c r="G39" i="14" s="1"/>
  <c r="H16" i="11"/>
  <c r="F35" i="14"/>
  <c r="C35" i="14"/>
  <c r="C37" i="14" s="1"/>
  <c r="C39" i="14" s="1"/>
  <c r="B37" i="14" l="1"/>
  <c r="B39" i="14" s="1"/>
  <c r="B42" i="14" s="1"/>
  <c r="F37" i="14"/>
  <c r="F39" i="14" s="1"/>
  <c r="F42" i="14" s="1"/>
  <c r="C20" i="12"/>
  <c r="C27" i="12" s="1"/>
  <c r="B39" i="10"/>
  <c r="C28" i="10"/>
  <c r="C29" i="10" s="1"/>
  <c r="C39" i="10" s="1"/>
  <c r="C29" i="12"/>
  <c r="E37" i="10"/>
  <c r="E39" i="10" s="1"/>
  <c r="E42" i="14" l="1"/>
  <c r="G41" i="14" s="1"/>
  <c r="G42" i="14" s="1"/>
  <c r="C42" i="14"/>
  <c r="E30" i="12"/>
  <c r="E39" i="12" s="1"/>
  <c r="F30" i="12"/>
  <c r="C30" i="12"/>
  <c r="C39" i="12" s="1"/>
  <c r="B58" i="14"/>
  <c r="B60" i="14" s="1"/>
  <c r="F37" i="10"/>
  <c r="C163" i="2"/>
  <c r="C162" i="2"/>
  <c r="E162" i="2"/>
  <c r="F162" i="2"/>
  <c r="G162" i="2"/>
  <c r="C161" i="2"/>
  <c r="E161" i="2"/>
  <c r="F161" i="2"/>
  <c r="G161" i="2"/>
  <c r="C138" i="2"/>
  <c r="C139" i="2" s="1"/>
  <c r="F169" i="8"/>
  <c r="D127" i="2"/>
  <c r="D129" i="2" s="1"/>
  <c r="D265" i="2" s="1"/>
  <c r="E127" i="2"/>
  <c r="E129" i="2" s="1"/>
  <c r="G29" i="12" l="1"/>
  <c r="G30" i="12" s="1"/>
  <c r="G39" i="12" s="1"/>
  <c r="F39" i="12"/>
  <c r="C134" i="2"/>
  <c r="C135" i="2" s="1"/>
  <c r="F171" i="8"/>
  <c r="F753" i="8" s="1"/>
  <c r="F127" i="2"/>
  <c r="F129" i="2" s="1"/>
  <c r="C164" i="2"/>
  <c r="F157" i="2"/>
  <c r="F164" i="2" s="1"/>
  <c r="E157" i="2"/>
  <c r="E164" i="2" s="1"/>
  <c r="E265" i="2" s="1"/>
  <c r="C56" i="14"/>
  <c r="F265" i="2" l="1"/>
  <c r="C265" i="2"/>
  <c r="C295" i="2" s="1"/>
  <c r="E295" i="2"/>
  <c r="E305" i="2" s="1"/>
  <c r="E268" i="2"/>
  <c r="D268" i="2"/>
  <c r="D285" i="2" s="1"/>
  <c r="D288" i="2" s="1"/>
  <c r="D295" i="2"/>
  <c r="D305" i="2" s="1"/>
  <c r="G157" i="2"/>
  <c r="G164" i="2" s="1"/>
  <c r="G265" i="2" s="1"/>
  <c r="C58" i="14"/>
  <c r="C60" i="14" s="1"/>
  <c r="F29" i="10" l="1"/>
  <c r="F268" i="2"/>
  <c r="G305" i="2"/>
  <c r="F56" i="14"/>
  <c r="E56" i="14"/>
  <c r="F39" i="10" l="1"/>
  <c r="G28" i="10"/>
  <c r="G29" i="10" s="1"/>
  <c r="G39" i="10" s="1"/>
  <c r="G268" i="2"/>
  <c r="G285" i="2" s="1"/>
  <c r="E58" i="14"/>
  <c r="E60" i="14" s="1"/>
  <c r="F58" i="14"/>
  <c r="F60" i="14" s="1"/>
  <c r="C305" i="2" l="1"/>
  <c r="C307" i="2" l="1"/>
  <c r="C309" i="2" s="1"/>
  <c r="B135" i="2" l="1"/>
  <c r="B265" i="2" s="1"/>
  <c r="B268" i="2" l="1"/>
  <c r="B285" i="2" s="1"/>
  <c r="B288" i="2" s="1"/>
  <c r="B305" i="2"/>
  <c r="F287" i="2" l="1"/>
  <c r="B307" i="2"/>
  <c r="B309" i="2" s="1"/>
  <c r="F285" i="2"/>
  <c r="E285" i="2"/>
  <c r="E288" i="2" s="1"/>
  <c r="G287" i="2" s="1"/>
  <c r="F288" i="2" l="1"/>
  <c r="G288" i="2" s="1"/>
  <c r="G307" i="2" s="1"/>
  <c r="G309" i="2" s="1"/>
  <c r="F305" i="2"/>
  <c r="E307" i="2" l="1"/>
  <c r="E309" i="2" s="1"/>
  <c r="F307" i="2" l="1"/>
  <c r="F309" i="2" s="1"/>
  <c r="G56" i="14" l="1"/>
  <c r="G58" i="14" l="1"/>
  <c r="G60" i="14" s="1"/>
  <c r="G20" i="23"/>
  <c r="E23" i="22"/>
  <c r="E31" i="22" s="1"/>
  <c r="E33" i="22" l="1"/>
  <c r="E36" i="22" s="1"/>
  <c r="E49" i="22" s="1"/>
  <c r="E51" i="22" s="1"/>
</calcChain>
</file>

<file path=xl/sharedStrings.xml><?xml version="1.0" encoding="utf-8"?>
<sst xmlns="http://schemas.openxmlformats.org/spreadsheetml/2006/main" count="2815" uniqueCount="1162">
  <si>
    <t>INTERGOVERNMENTAL</t>
  </si>
  <si>
    <t>TOTAL REVENUES</t>
  </si>
  <si>
    <t>TOTAL EXPENDITURES</t>
  </si>
  <si>
    <t>Financing Proceeds</t>
  </si>
  <si>
    <t>Operating Transfers In</t>
  </si>
  <si>
    <t>Operating Transfers Out</t>
  </si>
  <si>
    <t xml:space="preserve"> </t>
  </si>
  <si>
    <t>Fund Balance, Beginning of Year</t>
  </si>
  <si>
    <t>Committed To</t>
  </si>
  <si>
    <t>Assigned To</t>
  </si>
  <si>
    <t>Utilities</t>
  </si>
  <si>
    <t>Capital Outlay</t>
  </si>
  <si>
    <t>GENERAL FUND</t>
  </si>
  <si>
    <t>TABOR</t>
  </si>
  <si>
    <t>Contracted Services</t>
  </si>
  <si>
    <t>Franchise Fees</t>
  </si>
  <si>
    <t>Misc. Services</t>
  </si>
  <si>
    <t>Overtime</t>
  </si>
  <si>
    <t>Gas</t>
  </si>
  <si>
    <t>Electricity</t>
  </si>
  <si>
    <t>Telephone</t>
  </si>
  <si>
    <t>Advertising</t>
  </si>
  <si>
    <t>Personnel</t>
  </si>
  <si>
    <t>Capital Purchases &amp; Improvements</t>
  </si>
  <si>
    <t>Capital Purchases &amp; Equipment</t>
  </si>
  <si>
    <t>Lottery Proceeds - CTF</t>
  </si>
  <si>
    <t>On behalf of Water System</t>
  </si>
  <si>
    <t>Comments</t>
  </si>
  <si>
    <t>Turnout Gear Replacement</t>
  </si>
  <si>
    <t>Miscellaneous</t>
  </si>
  <si>
    <t>Debt Service</t>
  </si>
  <si>
    <t>Unassigned Fund Balance %</t>
  </si>
  <si>
    <t>Sales Tax</t>
  </si>
  <si>
    <t>CAPITAL IMPROVEMENT FUND</t>
  </si>
  <si>
    <t>CITY OF ROCKY FORD</t>
  </si>
  <si>
    <t>300-10-100</t>
  </si>
  <si>
    <t>Current Levy</t>
  </si>
  <si>
    <t>Property Taxes</t>
  </si>
  <si>
    <t>300-10-101</t>
  </si>
  <si>
    <t>Specific Ownership</t>
  </si>
  <si>
    <t>300-10-102</t>
  </si>
  <si>
    <t>300-10-104</t>
  </si>
  <si>
    <t>Use Tax</t>
  </si>
  <si>
    <t>300-10-105</t>
  </si>
  <si>
    <t>Liquor Occupational Tax</t>
  </si>
  <si>
    <t>300-10-110</t>
  </si>
  <si>
    <t>Delinquent Tax &amp; Interest</t>
  </si>
  <si>
    <t>300-10-117</t>
  </si>
  <si>
    <t>Plaza Nueva In-Lieu of Taxes</t>
  </si>
  <si>
    <t>300-10-125</t>
  </si>
  <si>
    <t>McKittrick Manor In-lieu of Taxes</t>
  </si>
  <si>
    <t>300-10-130</t>
  </si>
  <si>
    <t>Motor Vehicle Special Assess</t>
  </si>
  <si>
    <t>300-10-200</t>
  </si>
  <si>
    <t>State Highway User Tax</t>
  </si>
  <si>
    <t>300-10-205</t>
  </si>
  <si>
    <t>State Cigarette Tax</t>
  </si>
  <si>
    <t>300-10-210</t>
  </si>
  <si>
    <t>Otero County Road &amp; Bridge</t>
  </si>
  <si>
    <t>FRANCHISE REVENUE</t>
  </si>
  <si>
    <t>300-12-200</t>
  </si>
  <si>
    <t>LICENSE &amp; PERMITS</t>
  </si>
  <si>
    <t>Liquor License</t>
  </si>
  <si>
    <t>Liquor License Application</t>
  </si>
  <si>
    <t>Non-Cigarette Tobacco License</t>
  </si>
  <si>
    <t>Marijuana Applications</t>
  </si>
  <si>
    <t>Marijuana License Fees</t>
  </si>
  <si>
    <t>Tree Trimmers License</t>
  </si>
  <si>
    <t>Dog License</t>
  </si>
  <si>
    <t>Fireworks License</t>
  </si>
  <si>
    <t>Peddler License</t>
  </si>
  <si>
    <t>Zoning Compliance/Bldg. Fees</t>
  </si>
  <si>
    <t>Zoning Variance Fees</t>
  </si>
  <si>
    <t>300-14-100</t>
  </si>
  <si>
    <t>300-14-200</t>
  </si>
  <si>
    <t>300-14-300</t>
  </si>
  <si>
    <t>300-14-400</t>
  </si>
  <si>
    <t>300-14-500</t>
  </si>
  <si>
    <t>300-14-650</t>
  </si>
  <si>
    <t>300-14-700</t>
  </si>
  <si>
    <t>300-14-740</t>
  </si>
  <si>
    <t>300-14-930</t>
  </si>
  <si>
    <t>305-14-300</t>
  </si>
  <si>
    <t>305-14-311</t>
  </si>
  <si>
    <t>CHARGES FOR SERVICES</t>
  </si>
  <si>
    <t>AV Fair Board Reimbursements</t>
  </si>
  <si>
    <t>Police Reports</t>
  </si>
  <si>
    <t>Dispatch Services</t>
  </si>
  <si>
    <t>Mosquito Spray Revenue</t>
  </si>
  <si>
    <t>Code Enforcement Fees</t>
  </si>
  <si>
    <t>Copy Work/Notary Service</t>
  </si>
  <si>
    <t>Ambulance Fees Collected</t>
  </si>
  <si>
    <t>Ambulance Miscellaneous Income</t>
  </si>
  <si>
    <t>HCCLAIMPMT Direct to Bank</t>
  </si>
  <si>
    <t>Fire General Revenue</t>
  </si>
  <si>
    <t>Cemetery Grave Openings</t>
  </si>
  <si>
    <t>300-15-100</t>
  </si>
  <si>
    <t>300-15-140</t>
  </si>
  <si>
    <t>300-15-150</t>
  </si>
  <si>
    <t>305-15-800</t>
  </si>
  <si>
    <t>305-15-831</t>
  </si>
  <si>
    <t>305-15-890</t>
  </si>
  <si>
    <t>310-15-901</t>
  </si>
  <si>
    <t>310-15-910</t>
  </si>
  <si>
    <t>310-15-911</t>
  </si>
  <si>
    <t>310-15-915</t>
  </si>
  <si>
    <t>315-15-100</t>
  </si>
  <si>
    <t>315-15-116</t>
  </si>
  <si>
    <t>Cemetery Misc. Fees</t>
  </si>
  <si>
    <t>320-15-202</t>
  </si>
  <si>
    <t>Swimming Pool Admissions</t>
  </si>
  <si>
    <t>320-15-210</t>
  </si>
  <si>
    <t>Swimming Pool Concessions</t>
  </si>
  <si>
    <t>320-15-215</t>
  </si>
  <si>
    <t>Swimming Pool Lessons</t>
  </si>
  <si>
    <t>320-15-300</t>
  </si>
  <si>
    <t>Babcock Park Little League</t>
  </si>
  <si>
    <t>320-15-325</t>
  </si>
  <si>
    <t>Babcock Park Miscellaneous</t>
  </si>
  <si>
    <t>320-15-323</t>
  </si>
  <si>
    <t>320-15-320</t>
  </si>
  <si>
    <t>Youth Cheerleading Fees</t>
  </si>
  <si>
    <t>Youth Basketball Fees</t>
  </si>
  <si>
    <t>320-15-330</t>
  </si>
  <si>
    <t>Youth Soccer Fees</t>
  </si>
  <si>
    <t>320-15-340</t>
  </si>
  <si>
    <t>Youth Football Fees</t>
  </si>
  <si>
    <t>320-15-350</t>
  </si>
  <si>
    <t>Open Gym Fees</t>
  </si>
  <si>
    <t>320-15-400</t>
  </si>
  <si>
    <t>Volleyball Fees</t>
  </si>
  <si>
    <t>325-15-600</t>
  </si>
  <si>
    <t>Library Copies</t>
  </si>
  <si>
    <t>325-15-900</t>
  </si>
  <si>
    <t>Library Fines</t>
  </si>
  <si>
    <t>Rural Fire Protection District</t>
  </si>
  <si>
    <t>Rural Fire Protection District Pension</t>
  </si>
  <si>
    <t>Rural Fire Protection Dist. Pension</t>
  </si>
  <si>
    <t>310-16-200</t>
  </si>
  <si>
    <t>310-16-210</t>
  </si>
  <si>
    <t>FINES &amp; FORFEITURES</t>
  </si>
  <si>
    <t>Police Court Fines</t>
  </si>
  <si>
    <t>Court Costs</t>
  </si>
  <si>
    <t>Surcharge Revenue</t>
  </si>
  <si>
    <t>Otero County Fines Collected</t>
  </si>
  <si>
    <t>335-18-100</t>
  </si>
  <si>
    <t>335-18-103</t>
  </si>
  <si>
    <t>335-18-106</t>
  </si>
  <si>
    <t>335-18-200</t>
  </si>
  <si>
    <t>RENTAL INCOME</t>
  </si>
  <si>
    <t>Lease - Innovative Water</t>
  </si>
  <si>
    <t>Senior Citizen Center Rent</t>
  </si>
  <si>
    <t>Events Center Rent - 4-H Group</t>
  </si>
  <si>
    <t>Fairgrounds - Trailer Rent</t>
  </si>
  <si>
    <t>Fairgrounds - Events Center</t>
  </si>
  <si>
    <t>Fairgrounds - Horse Stall Rent</t>
  </si>
  <si>
    <t>Fairgrounds - Lights &amp; Arena</t>
  </si>
  <si>
    <t>300-20-110</t>
  </si>
  <si>
    <t>300-20-500</t>
  </si>
  <si>
    <t>Senior Citizens Center Rent</t>
  </si>
  <si>
    <t>330-20-909</t>
  </si>
  <si>
    <t>330-20-920</t>
  </si>
  <si>
    <t>330-20-921</t>
  </si>
  <si>
    <t>330-20-925</t>
  </si>
  <si>
    <t>330-20-951</t>
  </si>
  <si>
    <t>INVESTMENT INCOME</t>
  </si>
  <si>
    <t>Interest on Investments - General</t>
  </si>
  <si>
    <t>Interest on Investments - Ambulance</t>
  </si>
  <si>
    <t>Cemetery Spaces Sold</t>
  </si>
  <si>
    <t>Total Investment Income</t>
  </si>
  <si>
    <t>300-22-200</t>
  </si>
  <si>
    <t>300-22-201</t>
  </si>
  <si>
    <t>315-22-119</t>
  </si>
  <si>
    <t>GRANTS</t>
  </si>
  <si>
    <t>Summer Reading Grant Revenue</t>
  </si>
  <si>
    <t>325-24-615</t>
  </si>
  <si>
    <t>DONATIONS</t>
  </si>
  <si>
    <t>Swimming Pool Donations</t>
  </si>
  <si>
    <t>Summer Reading Donations</t>
  </si>
  <si>
    <t>Safety Uniform Donations</t>
  </si>
  <si>
    <t>Parks &amp; Recreation Donations</t>
  </si>
  <si>
    <t>Dog Pound Donations</t>
  </si>
  <si>
    <t>320-26-218</t>
  </si>
  <si>
    <t>325-26-218</t>
  </si>
  <si>
    <t>325-26-250</t>
  </si>
  <si>
    <t>330-26-218</t>
  </si>
  <si>
    <t>335-26-270</t>
  </si>
  <si>
    <t>OTHER INCOME</t>
  </si>
  <si>
    <t>CIRSA Property/Casualty Reimb Revenue</t>
  </si>
  <si>
    <t>Miscellaneous Income</t>
  </si>
  <si>
    <t>Police Miscellaneous Revenue</t>
  </si>
  <si>
    <t>300-28-200</t>
  </si>
  <si>
    <t>CIRSA Property/Cas Reimb Revenue</t>
  </si>
  <si>
    <t>300-28-220</t>
  </si>
  <si>
    <t>335-28-220</t>
  </si>
  <si>
    <t>LEGISLATIVE</t>
  </si>
  <si>
    <t>Salaries</t>
  </si>
  <si>
    <t>Benefits</t>
  </si>
  <si>
    <t>411-02-211</t>
  </si>
  <si>
    <t>Travel/Development/Dues</t>
  </si>
  <si>
    <t>Council Education &amp; Travel</t>
  </si>
  <si>
    <t>Dues &amp; Subscriptions</t>
  </si>
  <si>
    <t>Contractual Services</t>
  </si>
  <si>
    <t>JUDICAL</t>
  </si>
  <si>
    <t>Materials &amp; Supplies</t>
  </si>
  <si>
    <t>412-01-110</t>
  </si>
  <si>
    <t>412-02-211</t>
  </si>
  <si>
    <t>Social Security/Medicare</t>
  </si>
  <si>
    <t>Court Expense</t>
  </si>
  <si>
    <t>412-04-428</t>
  </si>
  <si>
    <t>Judge Monthly Fees</t>
  </si>
  <si>
    <t>412-05-530</t>
  </si>
  <si>
    <t>Supplies - Court</t>
  </si>
  <si>
    <t>ELECTIONS</t>
  </si>
  <si>
    <t>414-04-403</t>
  </si>
  <si>
    <t>Elections</t>
  </si>
  <si>
    <t>FINANCIAL &amp; ADMINISTRATION</t>
  </si>
  <si>
    <t>Maintenance</t>
  </si>
  <si>
    <t xml:space="preserve">Salaries  </t>
  </si>
  <si>
    <t>415-01-110</t>
  </si>
  <si>
    <t>415-02-210</t>
  </si>
  <si>
    <t>Employment Retirement</t>
  </si>
  <si>
    <t>415-02-211</t>
  </si>
  <si>
    <t>415-02-271</t>
  </si>
  <si>
    <t>Drug Testing Expense</t>
  </si>
  <si>
    <t>415-02-275</t>
  </si>
  <si>
    <t>Workers Compensation</t>
  </si>
  <si>
    <t>415-02-276</t>
  </si>
  <si>
    <t>Insurance Deductibles</t>
  </si>
  <si>
    <t>415-02-278</t>
  </si>
  <si>
    <t>Medical &amp; Life Insurance</t>
  </si>
  <si>
    <t>415-03-300</t>
  </si>
  <si>
    <t>Mileage</t>
  </si>
  <si>
    <t>415-03-315</t>
  </si>
  <si>
    <t>Admin Education &amp; Travel</t>
  </si>
  <si>
    <t>415-03-380</t>
  </si>
  <si>
    <t>415-04-400</t>
  </si>
  <si>
    <t>Treasurer's Fees</t>
  </si>
  <si>
    <t>415-04-401</t>
  </si>
  <si>
    <t>Publishing</t>
  </si>
  <si>
    <t>415-04-402</t>
  </si>
  <si>
    <t>City Promotion</t>
  </si>
  <si>
    <t>415-04-403</t>
  </si>
  <si>
    <t>Pest Control</t>
  </si>
  <si>
    <t>415-04-404</t>
  </si>
  <si>
    <t>Audit &amp; Consultation</t>
  </si>
  <si>
    <t>415-04-406</t>
  </si>
  <si>
    <t>Internet Fees</t>
  </si>
  <si>
    <t>415-04-407</t>
  </si>
  <si>
    <t>Fire &amp; Casualty Insurance</t>
  </si>
  <si>
    <t>Cell Phone Expense</t>
  </si>
  <si>
    <t>415-04-409</t>
  </si>
  <si>
    <t>Telephone Expense</t>
  </si>
  <si>
    <t>415-04-410</t>
  </si>
  <si>
    <t>Electricity City Hall</t>
  </si>
  <si>
    <t>415-04-411</t>
  </si>
  <si>
    <t>Electrictiy 203 S. 9th</t>
  </si>
  <si>
    <t>415-04-412</t>
  </si>
  <si>
    <t>Electricity Shop &amp; Garage</t>
  </si>
  <si>
    <t>415-04-420</t>
  </si>
  <si>
    <t>Natural Gas City Hall</t>
  </si>
  <si>
    <t>415-04-413</t>
  </si>
  <si>
    <t>415-04-414</t>
  </si>
  <si>
    <t>415-04-415</t>
  </si>
  <si>
    <t>415-04-421</t>
  </si>
  <si>
    <t>Natural Gas 203 S 9th</t>
  </si>
  <si>
    <t>415-04-422</t>
  </si>
  <si>
    <t>Natural Gas Shop &amp; Garage</t>
  </si>
  <si>
    <t>415-04-465</t>
  </si>
  <si>
    <t>Copier Lease</t>
  </si>
  <si>
    <t>415-04-467</t>
  </si>
  <si>
    <t>City Attorney Salary</t>
  </si>
  <si>
    <t>415-04-479</t>
  </si>
  <si>
    <t>Payroll Processing</t>
  </si>
  <si>
    <t>415-05-530</t>
  </si>
  <si>
    <t>Supplies</t>
  </si>
  <si>
    <t>415-05-550</t>
  </si>
  <si>
    <t>Postage</t>
  </si>
  <si>
    <t>415-05-555</t>
  </si>
  <si>
    <t>Fuel Expense</t>
  </si>
  <si>
    <t>415-07-760</t>
  </si>
  <si>
    <t>Office Equipment Repairs/Rent</t>
  </si>
  <si>
    <t xml:space="preserve">  </t>
  </si>
  <si>
    <t>419-01-110</t>
  </si>
  <si>
    <t>419-02-211</t>
  </si>
  <si>
    <t>419-05-530</t>
  </si>
  <si>
    <t>Janitor's Supplies</t>
  </si>
  <si>
    <t>Capital Purchase &amp; Equipment</t>
  </si>
  <si>
    <t>421-01-110</t>
  </si>
  <si>
    <t>421-01-115</t>
  </si>
  <si>
    <t>421-01-160</t>
  </si>
  <si>
    <t>Police Reserve</t>
  </si>
  <si>
    <t>421-02-211</t>
  </si>
  <si>
    <t>Medicare</t>
  </si>
  <si>
    <t>421-02-225</t>
  </si>
  <si>
    <t>Pension Fund</t>
  </si>
  <si>
    <t>421-03-315</t>
  </si>
  <si>
    <t>Training - Travel Expense</t>
  </si>
  <si>
    <t>421-03-380</t>
  </si>
  <si>
    <t>421-03-390</t>
  </si>
  <si>
    <t>421-04-403</t>
  </si>
  <si>
    <t>421-04-426</t>
  </si>
  <si>
    <t>Animal Shelter Operating Expense</t>
  </si>
  <si>
    <t>421-04-446</t>
  </si>
  <si>
    <t>Psychological Evaluations</t>
  </si>
  <si>
    <t>421-04-450</t>
  </si>
  <si>
    <t>Police Promotion</t>
  </si>
  <si>
    <t>421-04-465</t>
  </si>
  <si>
    <t>421-04-470</t>
  </si>
  <si>
    <t>Communications</t>
  </si>
  <si>
    <t>421-04-478</t>
  </si>
  <si>
    <t>Criminal Investigations</t>
  </si>
  <si>
    <t>421-04-480</t>
  </si>
  <si>
    <t>Uniforms &amp; Cleaning</t>
  </si>
  <si>
    <t>421-04-485</t>
  </si>
  <si>
    <t>Data Storage</t>
  </si>
  <si>
    <t>421-05-530</t>
  </si>
  <si>
    <t>421-05-554</t>
  </si>
  <si>
    <t>421-07-750</t>
  </si>
  <si>
    <t>Lexipol Expenses</t>
  </si>
  <si>
    <t>421-07-751</t>
  </si>
  <si>
    <t>Vehicle Maintenance &amp; Supplies</t>
  </si>
  <si>
    <t>421-07-755</t>
  </si>
  <si>
    <t>Eforce - RMS Expenses</t>
  </si>
  <si>
    <t>Capital Equipment</t>
  </si>
  <si>
    <t>422-01-110</t>
  </si>
  <si>
    <t>422-01-115</t>
  </si>
  <si>
    <t>422-02-211</t>
  </si>
  <si>
    <t>422-02-225</t>
  </si>
  <si>
    <t>422-03-315</t>
  </si>
  <si>
    <t>Training - Travel</t>
  </si>
  <si>
    <t>422-03-380</t>
  </si>
  <si>
    <t>422-04-403</t>
  </si>
  <si>
    <t>422-04-457</t>
  </si>
  <si>
    <t>Protective Clothing</t>
  </si>
  <si>
    <t>422-04-460</t>
  </si>
  <si>
    <t>Loose Tools &amp; Equipment</t>
  </si>
  <si>
    <t>422-04-465</t>
  </si>
  <si>
    <t>422-04-470</t>
  </si>
  <si>
    <t>422-05-530</t>
  </si>
  <si>
    <t>422-05-554</t>
  </si>
  <si>
    <t>422-05-599</t>
  </si>
  <si>
    <t>Community Risk Reduction</t>
  </si>
  <si>
    <t>422-07-735</t>
  </si>
  <si>
    <t>Equipment Maintenance</t>
  </si>
  <si>
    <t>422-07-751</t>
  </si>
  <si>
    <t>Vehicle Maintenance &amp; Repairs</t>
  </si>
  <si>
    <t>423-01-110</t>
  </si>
  <si>
    <t>423-01-115</t>
  </si>
  <si>
    <t>423-02-211</t>
  </si>
  <si>
    <t>423-03-315</t>
  </si>
  <si>
    <t>423-04-465</t>
  </si>
  <si>
    <t>423-04-470</t>
  </si>
  <si>
    <t>423-05-530</t>
  </si>
  <si>
    <t>423-05-599</t>
  </si>
  <si>
    <t>Capital Purchases</t>
  </si>
  <si>
    <t>Equipment Operations</t>
  </si>
  <si>
    <t>426-01-115</t>
  </si>
  <si>
    <t>426-02-210</t>
  </si>
  <si>
    <t>EMT-I Training Costs</t>
  </si>
  <si>
    <t>426-02-211</t>
  </si>
  <si>
    <t>426-02-225</t>
  </si>
  <si>
    <t>Pension Fund - Volunteers</t>
  </si>
  <si>
    <t>426-03-314</t>
  </si>
  <si>
    <t>Training</t>
  </si>
  <si>
    <t>426-03-316</t>
  </si>
  <si>
    <t xml:space="preserve">Travel </t>
  </si>
  <si>
    <t>Electricity (Comm. Shed)</t>
  </si>
  <si>
    <t>Driver's Services</t>
  </si>
  <si>
    <t>Insurance</t>
  </si>
  <si>
    <t>426-04-475</t>
  </si>
  <si>
    <t>Booking Service</t>
  </si>
  <si>
    <t>426-04-480</t>
  </si>
  <si>
    <t>Uniforms</t>
  </si>
  <si>
    <t>426-04-410</t>
  </si>
  <si>
    <t>426-04-429</t>
  </si>
  <si>
    <t>426-04-457</t>
  </si>
  <si>
    <t>426-04-460</t>
  </si>
  <si>
    <t>426-04-461</t>
  </si>
  <si>
    <t>426-04-470</t>
  </si>
  <si>
    <t>426-05-530</t>
  </si>
  <si>
    <t>426-05-532</t>
  </si>
  <si>
    <t>Medical Supplies</t>
  </si>
  <si>
    <t>426-05-554</t>
  </si>
  <si>
    <t>426-05-599</t>
  </si>
  <si>
    <t>426-06-660</t>
  </si>
  <si>
    <t>Ambulance Contingency</t>
  </si>
  <si>
    <t>Vehicles Maintenance &amp; Repairs</t>
  </si>
  <si>
    <t>426-07-751</t>
  </si>
  <si>
    <t xml:space="preserve">Capital Purchases  </t>
  </si>
  <si>
    <t>429-01-110</t>
  </si>
  <si>
    <t>429-01-115</t>
  </si>
  <si>
    <t>429-02-211</t>
  </si>
  <si>
    <t>429-03-314</t>
  </si>
  <si>
    <t>429-04-418</t>
  </si>
  <si>
    <t>Street Lighting</t>
  </si>
  <si>
    <t>429-04-490</t>
  </si>
  <si>
    <t>429-04-493</t>
  </si>
  <si>
    <t>Babcock Alarm Monitoring</t>
  </si>
  <si>
    <t>429-05-513</t>
  </si>
  <si>
    <t>429-05-520</t>
  </si>
  <si>
    <t>Materials - Buildings</t>
  </si>
  <si>
    <t>429-05-530</t>
  </si>
  <si>
    <t>Supplies - Parks</t>
  </si>
  <si>
    <t>429-05-536</t>
  </si>
  <si>
    <t>Tools - Public Works</t>
  </si>
  <si>
    <t>429-05-555</t>
  </si>
  <si>
    <t>Fuel Expense - Public Works</t>
  </si>
  <si>
    <t>Fuel Expense - Parks &amp; Rec</t>
  </si>
  <si>
    <t>429-05-599</t>
  </si>
  <si>
    <t>429-07-761</t>
  </si>
  <si>
    <t>Tree Maintenance</t>
  </si>
  <si>
    <t>429-07-770</t>
  </si>
  <si>
    <t>Sprinkler Maintenance</t>
  </si>
  <si>
    <t>442-01-110</t>
  </si>
  <si>
    <t>Salaries - Cemetery</t>
  </si>
  <si>
    <t>442-02-211</t>
  </si>
  <si>
    <t>442-04-410</t>
  </si>
  <si>
    <t>442-04-420</t>
  </si>
  <si>
    <t>Natural Gas</t>
  </si>
  <si>
    <t>442-05-530</t>
  </si>
  <si>
    <t>442-07-790</t>
  </si>
  <si>
    <t>Maintenance &amp; Materials</t>
  </si>
  <si>
    <t>Program Expenses</t>
  </si>
  <si>
    <t>447-01-110</t>
  </si>
  <si>
    <t>447-02-211</t>
  </si>
  <si>
    <t>447-04-410</t>
  </si>
  <si>
    <t>Electricity - Babcock Park</t>
  </si>
  <si>
    <t>447-05-530</t>
  </si>
  <si>
    <t>Parks &amp; Rec Donation Expenses</t>
  </si>
  <si>
    <t>447-05-533</t>
  </si>
  <si>
    <t>447-05-541</t>
  </si>
  <si>
    <t>Field Supplies - Non-CTF</t>
  </si>
  <si>
    <t>447-06-631</t>
  </si>
  <si>
    <t>Recreation Equip &amp; Supplies</t>
  </si>
  <si>
    <t>447-09-918</t>
  </si>
  <si>
    <t>Soccer Program</t>
  </si>
  <si>
    <t>447-09-950</t>
  </si>
  <si>
    <t>Umpires, Tournaments &amp; Trophy</t>
  </si>
  <si>
    <t>447-09-981</t>
  </si>
  <si>
    <t>Basketball Program</t>
  </si>
  <si>
    <t>Football Program</t>
  </si>
  <si>
    <t>447-09-982</t>
  </si>
  <si>
    <t>447-09-983</t>
  </si>
  <si>
    <t>Volleyball Program</t>
  </si>
  <si>
    <t>447-09-989</t>
  </si>
  <si>
    <t>Summer Ball/Softball Program</t>
  </si>
  <si>
    <t>447-09-990</t>
  </si>
  <si>
    <t xml:space="preserve">Capital Projects  </t>
  </si>
  <si>
    <t>Capial Equipment</t>
  </si>
  <si>
    <t>Swimming Pool</t>
  </si>
  <si>
    <t>452-01-110</t>
  </si>
  <si>
    <t>452-02-211</t>
  </si>
  <si>
    <t>452-04-410</t>
  </si>
  <si>
    <t>452-04-420</t>
  </si>
  <si>
    <t>452-04-437</t>
  </si>
  <si>
    <t>452-05-511</t>
  </si>
  <si>
    <t>Concessions</t>
  </si>
  <si>
    <t>452-05-530</t>
  </si>
  <si>
    <t>Pool Accessories/Supplies</t>
  </si>
  <si>
    <t>452-07-735</t>
  </si>
  <si>
    <t>Equipment Purchase/Reparis</t>
  </si>
  <si>
    <t>Contractural Services</t>
  </si>
  <si>
    <t>453-04-409</t>
  </si>
  <si>
    <t>Events Center - Electricity</t>
  </si>
  <si>
    <t>453-04-410</t>
  </si>
  <si>
    <t>453-04-420</t>
  </si>
  <si>
    <t>453-04-493</t>
  </si>
  <si>
    <t>Events Center Alarm Expense</t>
  </si>
  <si>
    <t>453-05-530</t>
  </si>
  <si>
    <t>Fair Supplies</t>
  </si>
  <si>
    <t>453-07-703</t>
  </si>
  <si>
    <t>454-01-110</t>
  </si>
  <si>
    <t>454-02-211</t>
  </si>
  <si>
    <t>454-04-410</t>
  </si>
  <si>
    <t>454-04-420</t>
  </si>
  <si>
    <t>454-04-493</t>
  </si>
  <si>
    <t>Alarm Monitoring</t>
  </si>
  <si>
    <t>454-04-495</t>
  </si>
  <si>
    <t>Elevator Services</t>
  </si>
  <si>
    <t>454-05-530</t>
  </si>
  <si>
    <t>Library</t>
  </si>
  <si>
    <t>455-01-110</t>
  </si>
  <si>
    <t>455-02-211</t>
  </si>
  <si>
    <t>455-03-316</t>
  </si>
  <si>
    <t>Travel &amp; Conventions</t>
  </si>
  <si>
    <t>455-04-403</t>
  </si>
  <si>
    <t>455-04-406</t>
  </si>
  <si>
    <t>Database Enrollments</t>
  </si>
  <si>
    <t>455-04-410</t>
  </si>
  <si>
    <t>455-04-420</t>
  </si>
  <si>
    <t>455-04-424</t>
  </si>
  <si>
    <t>Periodicals</t>
  </si>
  <si>
    <t>455-04-427</t>
  </si>
  <si>
    <t>Electronic Media</t>
  </si>
  <si>
    <t>455-04-455</t>
  </si>
  <si>
    <t>Internet Connection Fees</t>
  </si>
  <si>
    <t>455-04-465</t>
  </si>
  <si>
    <t>455-05-530</t>
  </si>
  <si>
    <t>Maintenance &amp; Supplies</t>
  </si>
  <si>
    <t>455-09-967</t>
  </si>
  <si>
    <t>Summer Reading Grant Exp</t>
  </si>
  <si>
    <t>Transfer from Sewer Fund</t>
  </si>
  <si>
    <t>Transfer from Garbage Fund</t>
  </si>
  <si>
    <t>Transfer from Water Fund</t>
  </si>
  <si>
    <t>Operating Transfer Out (CIP Fund)</t>
  </si>
  <si>
    <t>Operating Transfer Out (Public Safety)</t>
  </si>
  <si>
    <t>Special Purposes</t>
  </si>
  <si>
    <t>Public Safety Building</t>
  </si>
  <si>
    <t>Ambulance Services (10-102-111)</t>
  </si>
  <si>
    <t>Ambulance Services (10-104-212)</t>
  </si>
  <si>
    <t>429-04-445</t>
  </si>
  <si>
    <t>429-07-735</t>
  </si>
  <si>
    <t>429-07-751</t>
  </si>
  <si>
    <t>Vehicle Maintenance</t>
  </si>
  <si>
    <t>429-08-850</t>
  </si>
  <si>
    <t>421-08-850</t>
  </si>
  <si>
    <t>422-08-850</t>
  </si>
  <si>
    <t>423-08-850</t>
  </si>
  <si>
    <t>426-08-850</t>
  </si>
  <si>
    <t>442-08-850</t>
  </si>
  <si>
    <t>447-08-850</t>
  </si>
  <si>
    <t>447-08-750</t>
  </si>
  <si>
    <t>452-08-850</t>
  </si>
  <si>
    <t>453-80-850</t>
  </si>
  <si>
    <t>454-08-850</t>
  </si>
  <si>
    <t>455-08-850</t>
  </si>
  <si>
    <t>WATER FUND</t>
  </si>
  <si>
    <t>Charges for Service</t>
  </si>
  <si>
    <t>Rental Income</t>
  </si>
  <si>
    <t>Investment Income</t>
  </si>
  <si>
    <t>Other Income</t>
  </si>
  <si>
    <t>TOTAL REVENUE</t>
  </si>
  <si>
    <t>Water Dept. Revenue</t>
  </si>
  <si>
    <t>344-15-118</t>
  </si>
  <si>
    <t>Tap Fee Revenue</t>
  </si>
  <si>
    <t>344-15-122</t>
  </si>
  <si>
    <t>Turn On/Turn Off Fees</t>
  </si>
  <si>
    <t>344-20-500</t>
  </si>
  <si>
    <t>361-20-250</t>
  </si>
  <si>
    <t>Water Rental House</t>
  </si>
  <si>
    <t>344-22-211</t>
  </si>
  <si>
    <t>Late Fee Revenue</t>
  </si>
  <si>
    <t>344-22-212</t>
  </si>
  <si>
    <t>Credit Card Trans Fee Revenue</t>
  </si>
  <si>
    <t>361-22-206</t>
  </si>
  <si>
    <t>361-22-208</t>
  </si>
  <si>
    <t>Int - Construction Account</t>
  </si>
  <si>
    <t>Int - Bond &amp; Int Account</t>
  </si>
  <si>
    <t>361-22-301</t>
  </si>
  <si>
    <t>Interest on Investments - Water</t>
  </si>
  <si>
    <t>344-28-131</t>
  </si>
  <si>
    <t>Water - Miscellaneous Income</t>
  </si>
  <si>
    <t>Tower Rental Fees</t>
  </si>
  <si>
    <t>433-01-110</t>
  </si>
  <si>
    <t>433-01-111</t>
  </si>
  <si>
    <t>Administrative Salaries</t>
  </si>
  <si>
    <t>433-01-115</t>
  </si>
  <si>
    <t>433-02-211</t>
  </si>
  <si>
    <t>433-02-275</t>
  </si>
  <si>
    <t>433-02-278</t>
  </si>
  <si>
    <t>433-03-379</t>
  </si>
  <si>
    <t>Education &amp; Training</t>
  </si>
  <si>
    <t>433-03-380</t>
  </si>
  <si>
    <t>Association Dues</t>
  </si>
  <si>
    <t>433-04-186</t>
  </si>
  <si>
    <t>Cash Over &amp; (Under)</t>
  </si>
  <si>
    <t>433-04-200</t>
  </si>
  <si>
    <t>433-04-409</t>
  </si>
  <si>
    <t>Water Leasing Expense</t>
  </si>
  <si>
    <t>Engineers Fees</t>
  </si>
  <si>
    <t>Water Attorney Fees</t>
  </si>
  <si>
    <t>Mailing Expense</t>
  </si>
  <si>
    <t>Lab Tests</t>
  </si>
  <si>
    <t>Software Support Fees</t>
  </si>
  <si>
    <t>433-05-510</t>
  </si>
  <si>
    <t>433-05-515</t>
  </si>
  <si>
    <t>Chlorine</t>
  </si>
  <si>
    <t>433-05-530</t>
  </si>
  <si>
    <t>433-05-536</t>
  </si>
  <si>
    <t>Tools</t>
  </si>
  <si>
    <t>433-05-550</t>
  </si>
  <si>
    <t>Pre-Sed</t>
  </si>
  <si>
    <t>433-05-555</t>
  </si>
  <si>
    <t>Fuel Expense &amp; Maintenance</t>
  </si>
  <si>
    <t>433-05-571</t>
  </si>
  <si>
    <t>Lab Supplies</t>
  </si>
  <si>
    <t>433-05-583</t>
  </si>
  <si>
    <t>Equipment Maint. &amp; Supplies</t>
  </si>
  <si>
    <t>433-06-620</t>
  </si>
  <si>
    <t>Lab Equipment</t>
  </si>
  <si>
    <t>433-06-652</t>
  </si>
  <si>
    <t>Zone 2 Pump Station</t>
  </si>
  <si>
    <t>433-07-715</t>
  </si>
  <si>
    <t>WTP Rental House Repairs</t>
  </si>
  <si>
    <t>433-07-722</t>
  </si>
  <si>
    <t>Repair River Well Pump</t>
  </si>
  <si>
    <t>433-07-723</t>
  </si>
  <si>
    <t>Repair Water Plant Equipment</t>
  </si>
  <si>
    <t>433-07-725</t>
  </si>
  <si>
    <t>Bldg. Repairs/Ground Maint.</t>
  </si>
  <si>
    <t>433-07-735</t>
  </si>
  <si>
    <t>Repairs to Equipment</t>
  </si>
  <si>
    <t>433-07-744</t>
  </si>
  <si>
    <t>Repair to Mains</t>
  </si>
  <si>
    <t>433-07-748</t>
  </si>
  <si>
    <t>Service Line</t>
  </si>
  <si>
    <t>433-07-754</t>
  </si>
  <si>
    <t>Main Replacement</t>
  </si>
  <si>
    <t>433-07-760</t>
  </si>
  <si>
    <t>Office Expense &amp; Equipment Repair</t>
  </si>
  <si>
    <t>433-09-906</t>
  </si>
  <si>
    <t>Ditch Assessments</t>
  </si>
  <si>
    <t>433-09-907</t>
  </si>
  <si>
    <t>Storage</t>
  </si>
  <si>
    <t>433-09-908</t>
  </si>
  <si>
    <t>Conduit</t>
  </si>
  <si>
    <t>433-08-814</t>
  </si>
  <si>
    <t>Replace Fire Hydrants</t>
  </si>
  <si>
    <t>433-08-836</t>
  </si>
  <si>
    <t>Strategic Plan</t>
  </si>
  <si>
    <t>433-08-847</t>
  </si>
  <si>
    <t>New Meters</t>
  </si>
  <si>
    <t>433-00-003</t>
  </si>
  <si>
    <t>Debt Service - RUD Interest</t>
  </si>
  <si>
    <t>433-00-005</t>
  </si>
  <si>
    <t>Debt Service - Rural Development</t>
  </si>
  <si>
    <t>433-00-030</t>
  </si>
  <si>
    <t>433-00-032</t>
  </si>
  <si>
    <t>Backhoe Lease</t>
  </si>
  <si>
    <t>433-00-091</t>
  </si>
  <si>
    <t>Debt Service - Retirement Bonds</t>
  </si>
  <si>
    <t>433-00-092</t>
  </si>
  <si>
    <t>Debt Service - Interest</t>
  </si>
  <si>
    <t>433-00-097</t>
  </si>
  <si>
    <t>Jet Vac Truck FNBLA</t>
  </si>
  <si>
    <t>Future Construction</t>
  </si>
  <si>
    <t>Debt Service Fund</t>
  </si>
  <si>
    <t>Capital Projects</t>
  </si>
  <si>
    <t>Contingency (25%)</t>
  </si>
  <si>
    <t>433-00-098</t>
  </si>
  <si>
    <t>SCADA Plus</t>
  </si>
  <si>
    <t>Future Projects</t>
  </si>
  <si>
    <t>General Revenue</t>
  </si>
  <si>
    <t>300-10-103</t>
  </si>
  <si>
    <t>1% Sales Tax</t>
  </si>
  <si>
    <t>490-06-605</t>
  </si>
  <si>
    <t>490-06-622</t>
  </si>
  <si>
    <t>Cemetery Improv. &amp; Equipment</t>
  </si>
  <si>
    <t>490-06-681</t>
  </si>
  <si>
    <t>Police Equipment</t>
  </si>
  <si>
    <t>490-06-682</t>
  </si>
  <si>
    <t>Public Works Equipment</t>
  </si>
  <si>
    <t>490-06-683</t>
  </si>
  <si>
    <t>Contingency</t>
  </si>
  <si>
    <t>490-07-900</t>
  </si>
  <si>
    <t>490-07-902</t>
  </si>
  <si>
    <t>Cartegraph Road Software</t>
  </si>
  <si>
    <t>490-07-909</t>
  </si>
  <si>
    <t>HUTF Equipment Repairs/Maint</t>
  </si>
  <si>
    <t>490-07-910</t>
  </si>
  <si>
    <t>Street Repairs - In House/Contractor</t>
  </si>
  <si>
    <t>490-07-911</t>
  </si>
  <si>
    <t>Road Oil - For Chip Seal</t>
  </si>
  <si>
    <t>490-07-912</t>
  </si>
  <si>
    <t>Chips - For Chip Seal</t>
  </si>
  <si>
    <t>490-07-913</t>
  </si>
  <si>
    <t>Perma Patch</t>
  </si>
  <si>
    <t>490-07-914</t>
  </si>
  <si>
    <t>Crack Fill Material</t>
  </si>
  <si>
    <t>490-07-915</t>
  </si>
  <si>
    <t>Road Base/Sand/Rock</t>
  </si>
  <si>
    <t>490-07-916</t>
  </si>
  <si>
    <t>Cement - Streets</t>
  </si>
  <si>
    <t>490-07-917</t>
  </si>
  <si>
    <t>Weed Spray</t>
  </si>
  <si>
    <t>490-07-918</t>
  </si>
  <si>
    <t>Snow &amp; Ice Removal</t>
  </si>
  <si>
    <t>490-07-919</t>
  </si>
  <si>
    <t>Signs &amp; Traffic Control</t>
  </si>
  <si>
    <t>490-07-920</t>
  </si>
  <si>
    <t>Boots</t>
  </si>
  <si>
    <t>490-07-921</t>
  </si>
  <si>
    <t>Jackets</t>
  </si>
  <si>
    <t>490-07-922</t>
  </si>
  <si>
    <t>Personal Protective Equipment</t>
  </si>
  <si>
    <t>490-07-923</t>
  </si>
  <si>
    <t>Small Tools</t>
  </si>
  <si>
    <t>490-07-924</t>
  </si>
  <si>
    <t>Street Maintenance Salaries</t>
  </si>
  <si>
    <t>490-07-925</t>
  </si>
  <si>
    <t>Hwy Law Enforcement Salaries</t>
  </si>
  <si>
    <t>490-08-550</t>
  </si>
  <si>
    <t>Capital Outlay - Sewer (Simon)</t>
  </si>
  <si>
    <t>490-00-072</t>
  </si>
  <si>
    <t>City Hall Roof Repayment</t>
  </si>
  <si>
    <t>Total Expenditures -</t>
  </si>
  <si>
    <t xml:space="preserve">TOTAL EXPENDITURES </t>
  </si>
  <si>
    <t>TABOR Reserve</t>
  </si>
  <si>
    <t>Interest on Investments</t>
  </si>
  <si>
    <t>300-16-280</t>
  </si>
  <si>
    <t>300-22-301</t>
  </si>
  <si>
    <t>490-04-456</t>
  </si>
  <si>
    <t>Golf Course - CTF</t>
  </si>
  <si>
    <t>490--5-504</t>
  </si>
  <si>
    <t>Library Books - CTF</t>
  </si>
  <si>
    <t>490-07-660</t>
  </si>
  <si>
    <t>Parks - CTF</t>
  </si>
  <si>
    <t>490-07-720</t>
  </si>
  <si>
    <t>Contingency - CTF</t>
  </si>
  <si>
    <t>490-07-755</t>
  </si>
  <si>
    <t>Swimming Pool - CTF</t>
  </si>
  <si>
    <t>Parks Projects</t>
  </si>
  <si>
    <t>490-08-001</t>
  </si>
  <si>
    <t>SEWER FUND</t>
  </si>
  <si>
    <t>Sewer Dept. Revenue</t>
  </si>
  <si>
    <t>344-15-200</t>
  </si>
  <si>
    <t>344-15-205</t>
  </si>
  <si>
    <t>Sewer Restr for Debt Repay</t>
  </si>
  <si>
    <t>Interest on Investments - Sewer</t>
  </si>
  <si>
    <t>344-28-210</t>
  </si>
  <si>
    <t>Sewer - Miscellaneous Income</t>
  </si>
  <si>
    <t>Operating Expense</t>
  </si>
  <si>
    <t>433-05-502</t>
  </si>
  <si>
    <t>Treatment Chemicals</t>
  </si>
  <si>
    <t>433-05-518</t>
  </si>
  <si>
    <t>433-05-519</t>
  </si>
  <si>
    <t>Sodium Bisulfate</t>
  </si>
  <si>
    <t>433-07-708</t>
  </si>
  <si>
    <t>Repairs to System</t>
  </si>
  <si>
    <t>433-07-713</t>
  </si>
  <si>
    <t>433-08-800</t>
  </si>
  <si>
    <t>Sewer Line Replacement Program</t>
  </si>
  <si>
    <t>433-08-801</t>
  </si>
  <si>
    <t>Manhole Replacement Program</t>
  </si>
  <si>
    <t>433-00-022</t>
  </si>
  <si>
    <t>Repayment DOLA Loan</t>
  </si>
  <si>
    <t>433-00-024</t>
  </si>
  <si>
    <t>Water Pollution Repayment</t>
  </si>
  <si>
    <t>422-00-026</t>
  </si>
  <si>
    <t>Sewer Lagoon Loan II Debt Svc</t>
  </si>
  <si>
    <t>O&amp;M Reserve</t>
  </si>
  <si>
    <t>320-15-310</t>
  </si>
  <si>
    <t>Babcock Adults</t>
  </si>
  <si>
    <t>419-05-599</t>
  </si>
  <si>
    <t>GARBAGE FUND</t>
  </si>
  <si>
    <t>Garbage Dept. Revenue</t>
  </si>
  <si>
    <t>344-15-310</t>
  </si>
  <si>
    <t>344-15-320</t>
  </si>
  <si>
    <t>Yard Waste Bags</t>
  </si>
  <si>
    <t>Total Charges for Service</t>
  </si>
  <si>
    <t>Recycling Revenue</t>
  </si>
  <si>
    <t>344-28-330</t>
  </si>
  <si>
    <t>Beautification Grant - Tree Bd</t>
  </si>
  <si>
    <t>344-28-300</t>
  </si>
  <si>
    <t>433-04-430</t>
  </si>
  <si>
    <t>Land Fill Closing Costs</t>
  </si>
  <si>
    <t>433-04-431</t>
  </si>
  <si>
    <t>Recycling Fees</t>
  </si>
  <si>
    <t>433-04-432</t>
  </si>
  <si>
    <t>Land Fill/Per Capita Fees</t>
  </si>
  <si>
    <t>433-04-433</t>
  </si>
  <si>
    <t>Landfill Compaction/Tipping</t>
  </si>
  <si>
    <t>433-04-446</t>
  </si>
  <si>
    <t>433-04-454</t>
  </si>
  <si>
    <t>433-04-472</t>
  </si>
  <si>
    <t>433-04-477</t>
  </si>
  <si>
    <t>433-04-496</t>
  </si>
  <si>
    <t>433-05-507</t>
  </si>
  <si>
    <t>Containers</t>
  </si>
  <si>
    <t>General Supplies</t>
  </si>
  <si>
    <t>433-07-703</t>
  </si>
  <si>
    <t>Repairs &amp; Maintenance</t>
  </si>
  <si>
    <t>433-07-720</t>
  </si>
  <si>
    <t>433-07-734</t>
  </si>
  <si>
    <t>Beautification - Tree Board</t>
  </si>
  <si>
    <t>433-08-830</t>
  </si>
  <si>
    <t>433-08-996</t>
  </si>
  <si>
    <t>Truck Replacement</t>
  </si>
  <si>
    <t>PUBLIC SAFETY BUILDING FUND</t>
  </si>
  <si>
    <t>Public Safety Bldg Donations</t>
  </si>
  <si>
    <t>Public Safety Bldg Pension Grant</t>
  </si>
  <si>
    <t>DOLA Grant</t>
  </si>
  <si>
    <t>Public Safety Bldg Expenses</t>
  </si>
  <si>
    <t>Engineering Fees</t>
  </si>
  <si>
    <t>Excise Tax</t>
  </si>
  <si>
    <t>300-10-106</t>
  </si>
  <si>
    <t>422-07-750</t>
  </si>
  <si>
    <t>Fire Prevention, Smoke Alarm and Fire Extinguisher Campaigns</t>
  </si>
  <si>
    <t>423-03-380</t>
  </si>
  <si>
    <t>423-04-480</t>
  </si>
  <si>
    <t>911 Dispatcher Appreciation Week</t>
  </si>
  <si>
    <t>310-24-100</t>
  </si>
  <si>
    <t>Fire Department Grants</t>
  </si>
  <si>
    <t>429-04-420</t>
  </si>
  <si>
    <t>344-28-220</t>
  </si>
  <si>
    <t>Equipment Replacement</t>
  </si>
  <si>
    <t>Contingency (15%)</t>
  </si>
  <si>
    <t>Depreciation</t>
  </si>
  <si>
    <t>Rural Water/AWWA</t>
  </si>
  <si>
    <t>Fairgrounds Maintenance</t>
  </si>
  <si>
    <t>455-05-504</t>
  </si>
  <si>
    <t>Library Books</t>
  </si>
  <si>
    <t>Contingency (10%)</t>
  </si>
  <si>
    <t>JANITORIAL</t>
  </si>
  <si>
    <t>POLICE DEPARTMENT</t>
  </si>
  <si>
    <t>PARKS &amp; RECREATION</t>
  </si>
  <si>
    <t>SWIMMING POOL</t>
  </si>
  <si>
    <t>FAIRGROUNDS</t>
  </si>
  <si>
    <t>MUSEUM</t>
  </si>
  <si>
    <t>LIBRARY</t>
  </si>
  <si>
    <t>Computer Replacement Program</t>
  </si>
  <si>
    <t>426-08-851</t>
  </si>
  <si>
    <t>Ambulance Replacement</t>
  </si>
  <si>
    <t>422-08-851</t>
  </si>
  <si>
    <t>Fire Apparatus</t>
  </si>
  <si>
    <t>HUTF &amp; FASTER</t>
  </si>
  <si>
    <t>Transfer from CIP Fund</t>
  </si>
  <si>
    <t>Transfer from CTF Fund</t>
  </si>
  <si>
    <t>Marijuana Excise Tax</t>
  </si>
  <si>
    <t xml:space="preserve">USBANC Lease  </t>
  </si>
  <si>
    <t>433-00-033</t>
  </si>
  <si>
    <t>Interest - ACME leases</t>
  </si>
  <si>
    <t>ACTUAL</t>
  </si>
  <si>
    <t>Maintenance Office Equip.</t>
  </si>
  <si>
    <t>CHECK ON THIS AMOUNT</t>
  </si>
  <si>
    <t>PROPOSED</t>
  </si>
  <si>
    <t>344-28-225</t>
  </si>
  <si>
    <t>Tree board donations</t>
  </si>
  <si>
    <t>Marijuana Sales Tax</t>
  </si>
  <si>
    <t>Property Sold in 2018</t>
  </si>
  <si>
    <t>TAX REVENUE</t>
  </si>
  <si>
    <t>GENERAL FUND REVENUE</t>
  </si>
  <si>
    <t>JUDICAIL</t>
  </si>
  <si>
    <t>FINANCE &amp; ADMINISTRATION</t>
  </si>
  <si>
    <t>Recreation Promotions</t>
  </si>
  <si>
    <t>DISPATCH</t>
  </si>
  <si>
    <t>AMBULANCE</t>
  </si>
  <si>
    <t>PUBLIC WORKS</t>
  </si>
  <si>
    <t>2020</t>
  </si>
  <si>
    <t>415-08-100</t>
  </si>
  <si>
    <t>Debt Services - Fire/Volunteer</t>
  </si>
  <si>
    <t>422-08-100</t>
  </si>
  <si>
    <t>423-08-100</t>
  </si>
  <si>
    <t>426-08-100</t>
  </si>
  <si>
    <t>429-08-100</t>
  </si>
  <si>
    <t>447-08-100</t>
  </si>
  <si>
    <t>452-08-100</t>
  </si>
  <si>
    <t>Debt Services - Parks &amp; Rec</t>
  </si>
  <si>
    <t>Debt Services - Swimming Pool</t>
  </si>
  <si>
    <t>421-08-100</t>
  </si>
  <si>
    <t>Debt Services - Police</t>
  </si>
  <si>
    <t>429-07-730</t>
  </si>
  <si>
    <t xml:space="preserve">State Hiway User Tax Expenses </t>
  </si>
  <si>
    <t>GENERAL ADMINISTRATION</t>
  </si>
  <si>
    <t>USBank Lease HVAC Upgrade</t>
  </si>
  <si>
    <t xml:space="preserve">Capital Outlay </t>
  </si>
  <si>
    <t xml:space="preserve">Contractual Services </t>
  </si>
  <si>
    <t>Debt Services</t>
  </si>
  <si>
    <t>480-04-498</t>
  </si>
  <si>
    <t>480-08-500</t>
  </si>
  <si>
    <t>Do we know what 2020 will look like?</t>
  </si>
  <si>
    <t>BUDGET</t>
  </si>
  <si>
    <t>SUPPLEMENTAL</t>
  </si>
  <si>
    <t>ACCOUNT TITLE</t>
  </si>
  <si>
    <t>REVENUES:</t>
  </si>
  <si>
    <t xml:space="preserve">EXPENDITURES: </t>
  </si>
  <si>
    <t xml:space="preserve">EXCESS (DEFICIENCY) OF REVENUES OVER (UNDER) EXPENDITURES </t>
  </si>
  <si>
    <t>OTHER FINANCING SOURCES (USES)</t>
  </si>
  <si>
    <t>TOTAL OTHER FINANCING SOURCES (USES)</t>
  </si>
  <si>
    <t>TOTAL GENERAL FUND EXPENDITURES</t>
  </si>
  <si>
    <t>EXCESS (DEFINCIENCY) OF REVENUES AND OTHER SOURCES OVER (UNDER) EXPENDITURES AND OTHER USES</t>
  </si>
  <si>
    <t>Fund Balance, Begining of Year</t>
  </si>
  <si>
    <t xml:space="preserve">FUND BALANCE, END OF YEAR </t>
  </si>
  <si>
    <t xml:space="preserve">LESS CLASSIFIED FUND BALANCE: </t>
  </si>
  <si>
    <t xml:space="preserve">RESTRICTED FOR </t>
  </si>
  <si>
    <t xml:space="preserve">TOTAL CLASSIFIED FUND BALANCE </t>
  </si>
  <si>
    <t xml:space="preserve">UNASSIGNED FUND BALANCE </t>
  </si>
  <si>
    <t>Credit Card Processing Fee</t>
  </si>
  <si>
    <t>WATER FUND REVENUE</t>
  </si>
  <si>
    <t>GENERAL FUND EXPENDITURES</t>
  </si>
  <si>
    <t>FUND 010: GENERAL FUND</t>
  </si>
  <si>
    <t>FUND: 020 -WATER FUND</t>
  </si>
  <si>
    <t>SEWER FUND REVENUE</t>
  </si>
  <si>
    <t xml:space="preserve">Rental Income </t>
  </si>
  <si>
    <t xml:space="preserve">Other Income </t>
  </si>
  <si>
    <t xml:space="preserve">Investment Income </t>
  </si>
  <si>
    <t>COMMENTS</t>
  </si>
  <si>
    <t xml:space="preserve">Debt Services </t>
  </si>
  <si>
    <t xml:space="preserve">Materials &amp; Supplies </t>
  </si>
  <si>
    <t>FUND: 021 -SEWER FUND</t>
  </si>
  <si>
    <t>FUND: 022 -GARBAGE FUND</t>
  </si>
  <si>
    <t>Tree Removal Grant?</t>
  </si>
  <si>
    <t>GARBAGE FUND REVENUE</t>
  </si>
  <si>
    <t>WATER FUND EXPENDITURES</t>
  </si>
  <si>
    <t>SEWER FUND EXPENDITURES</t>
  </si>
  <si>
    <t>GARBAGE FUND EXPENDITURES</t>
  </si>
  <si>
    <t xml:space="preserve">Maintenance </t>
  </si>
  <si>
    <t>EXPENDITURES:</t>
  </si>
  <si>
    <t>426-01-110</t>
  </si>
  <si>
    <t>Manzanola Rural ($500), Fowler Rural ($3,000), AMR ($25,000)</t>
  </si>
  <si>
    <t xml:space="preserve">EMS State Grant </t>
  </si>
  <si>
    <t>310-24-101</t>
  </si>
  <si>
    <t>Yearly Payment ($2,500 Per Business)</t>
  </si>
  <si>
    <t>Combine With 415-04-407</t>
  </si>
  <si>
    <t>CPR Campaign</t>
  </si>
  <si>
    <t xml:space="preserve">New Ambulance (10/90) </t>
  </si>
  <si>
    <t xml:space="preserve">EMT Equiptment </t>
  </si>
  <si>
    <t>426-08-852</t>
  </si>
  <si>
    <t>PROJECTED</t>
  </si>
  <si>
    <t>411-03-315</t>
  </si>
  <si>
    <t>Did we collect money from fairboard</t>
  </si>
  <si>
    <t>CML, Action 22, CCMC, ICMA, etc..</t>
  </si>
  <si>
    <t xml:space="preserve">Allowed For 30 Hours/Week </t>
  </si>
  <si>
    <t>Radio Replacement/Batteries</t>
  </si>
  <si>
    <t>2021 New Water Heater $10,000</t>
  </si>
  <si>
    <t>Electricity Play Park Hill</t>
  </si>
  <si>
    <t>Utilities (Gas &amp; Electricity) Gobin Bldg</t>
  </si>
  <si>
    <t>Starting in 2020 Only Electricticty</t>
  </si>
  <si>
    <t>415-04-416</t>
  </si>
  <si>
    <t xml:space="preserve">Electricity Public Safety Building </t>
  </si>
  <si>
    <t>415-04-423</t>
  </si>
  <si>
    <t xml:space="preserve">Natural Gas Public Safety Building </t>
  </si>
  <si>
    <t>Utilties Boys &amp; Girls Club</t>
  </si>
  <si>
    <t>447-05-555</t>
  </si>
  <si>
    <t>Do not use for 2020. For 2019, might be able to move some of this to 030 depending on what is left at the of the year.</t>
  </si>
  <si>
    <t>344-15-110</t>
  </si>
  <si>
    <t>Cobined With 020-344-22-211</t>
  </si>
  <si>
    <t>433-04-410</t>
  </si>
  <si>
    <t>433-04-413</t>
  </si>
  <si>
    <t>433-04-420</t>
  </si>
  <si>
    <t>433-04-438</t>
  </si>
  <si>
    <t>433-04-440</t>
  </si>
  <si>
    <t>433-04-466</t>
  </si>
  <si>
    <t>433-04-471</t>
  </si>
  <si>
    <t>BACK OUT DEBT SERVICE PRINCIPAL</t>
  </si>
  <si>
    <t>Debt was allocated in the Capital Improvement Fund (030) for 2019 to help the Genreral Fund</t>
  </si>
  <si>
    <t>433-04-426</t>
  </si>
  <si>
    <t>433-04-441</t>
  </si>
  <si>
    <t xml:space="preserve">Sewer Line Observation </t>
  </si>
  <si>
    <t xml:space="preserve">Included $12,000 for 2019 To Be Paid Back to Pension </t>
  </si>
  <si>
    <t>TOTAL TAX REVENUE</t>
  </si>
  <si>
    <t>TOTAL FRANCHISE REVENUE</t>
  </si>
  <si>
    <t>TOTAL LICENSE &amp; PERMITS</t>
  </si>
  <si>
    <t>TOTAL CHARGES FOR SERVICES</t>
  </si>
  <si>
    <t>TOTAL INTERGOVERMENTAL</t>
  </si>
  <si>
    <t>TOTAL FINES &amp; FORFEITURES</t>
  </si>
  <si>
    <t xml:space="preserve">TOTAL RENTAL INCOME </t>
  </si>
  <si>
    <t>TOTAL INVESTMENT INCOME</t>
  </si>
  <si>
    <t>TOTAL GRANTS</t>
  </si>
  <si>
    <t>TOTAL DONATIONS</t>
  </si>
  <si>
    <t xml:space="preserve">TOTAL OTHER INCOME </t>
  </si>
  <si>
    <t>TOTAL LEGISTATIVE</t>
  </si>
  <si>
    <t xml:space="preserve">Total Personnel </t>
  </si>
  <si>
    <t xml:space="preserve">Total Travel/Development/Dues </t>
  </si>
  <si>
    <t xml:space="preserve">Total Contractual Services </t>
  </si>
  <si>
    <t xml:space="preserve">Total Materials &amp; Supplies </t>
  </si>
  <si>
    <t>TOTAL JUDICAIL</t>
  </si>
  <si>
    <t>TOTAL ELECTIONS</t>
  </si>
  <si>
    <t xml:space="preserve">Total Salaries </t>
  </si>
  <si>
    <t xml:space="preserve">Total Benefits </t>
  </si>
  <si>
    <t xml:space="preserve">Total Maintenance </t>
  </si>
  <si>
    <t xml:space="preserve">Total Capital Purchase &amp; Equipment </t>
  </si>
  <si>
    <t>TOTAL FINANCE &amp; ADMINISTRATION</t>
  </si>
  <si>
    <t>Total Salaries</t>
  </si>
  <si>
    <t>TOTAL JANITORIAL</t>
  </si>
  <si>
    <t xml:space="preserve">Total Debt Services </t>
  </si>
  <si>
    <t xml:space="preserve">Total Capital Purchases Equipment </t>
  </si>
  <si>
    <t>Total Benefits</t>
  </si>
  <si>
    <t>Total Personnel</t>
  </si>
  <si>
    <t>Total Travel/Development/Dues</t>
  </si>
  <si>
    <t>Total Contractual Services</t>
  </si>
  <si>
    <t>Total Materials &amp; Supplies</t>
  </si>
  <si>
    <t>Total Capital Purchases &amp; Equipment</t>
  </si>
  <si>
    <t>Total Debt Services</t>
  </si>
  <si>
    <t>Debt Services - Admin</t>
  </si>
  <si>
    <t>Debt Services - Dispatch</t>
  </si>
  <si>
    <t>TOTAL DISPATCH</t>
  </si>
  <si>
    <t xml:space="preserve">Total Contractural Services </t>
  </si>
  <si>
    <t xml:space="preserve">Total Equipment Operations </t>
  </si>
  <si>
    <t xml:space="preserve">Total Capital Purchases &amp; Equipment </t>
  </si>
  <si>
    <t>Debt Services - Ambulance</t>
  </si>
  <si>
    <t>TOTAL AMBULANCE</t>
  </si>
  <si>
    <t xml:space="preserve">Debt Services - Public Works </t>
  </si>
  <si>
    <t>TOTAL PUBLIC WORKS</t>
  </si>
  <si>
    <t>Debt Services - Cemetary</t>
  </si>
  <si>
    <t>TOTAL CEMETARY</t>
  </si>
  <si>
    <t xml:space="preserve">Total Program Expenses </t>
  </si>
  <si>
    <t xml:space="preserve">Total Capital Purchases &amp; Improvements </t>
  </si>
  <si>
    <t>TOTAL PARKS &amp; RECREATION</t>
  </si>
  <si>
    <t xml:space="preserve">TOTAL SWIMMING POOL </t>
  </si>
  <si>
    <t>TOTAL FAIRGROUNDS</t>
  </si>
  <si>
    <t>TOTAL MUSEUM</t>
  </si>
  <si>
    <t xml:space="preserve">Total Programs Expenses </t>
  </si>
  <si>
    <t>TOTAL LIBRARY</t>
  </si>
  <si>
    <t xml:space="preserve">Total Capital Outlay </t>
  </si>
  <si>
    <t>TOTAL GERNERAL ADMINSTRATION</t>
  </si>
  <si>
    <t xml:space="preserve">TOTAL GENERAL FUND REVENUE </t>
  </si>
  <si>
    <t xml:space="preserve">TOTAL GENERAL FUND EXPENDITURES </t>
  </si>
  <si>
    <t>411-01-110</t>
  </si>
  <si>
    <t>Salaries - Legislative</t>
  </si>
  <si>
    <t>Salaries - Judicail</t>
  </si>
  <si>
    <t>Salaries - Finance/Admin</t>
  </si>
  <si>
    <t>Salaries - Janitorial</t>
  </si>
  <si>
    <t>Salaries - Police</t>
  </si>
  <si>
    <t>Overtime - Police</t>
  </si>
  <si>
    <t>Salaries - Fire</t>
  </si>
  <si>
    <t>Overtime - Fire</t>
  </si>
  <si>
    <t>Salaries - Dispatch</t>
  </si>
  <si>
    <t xml:space="preserve">Overtime - Dispatch </t>
  </si>
  <si>
    <t>Salaries - Ambulance</t>
  </si>
  <si>
    <t>Overtime - Ambulance</t>
  </si>
  <si>
    <t>Salaries - Public Works</t>
  </si>
  <si>
    <t>Overtime - Public Works</t>
  </si>
  <si>
    <t>CEMETERY</t>
  </si>
  <si>
    <t>Salaries - Parks/Recreation</t>
  </si>
  <si>
    <t>Salaries - Swimming Pool</t>
  </si>
  <si>
    <t>Salaries - Museum</t>
  </si>
  <si>
    <t>Salaries - Library</t>
  </si>
  <si>
    <t xml:space="preserve">TOTAL TAX REVENUE </t>
  </si>
  <si>
    <t xml:space="preserve">TOTAL FRANCHISE REVENUE </t>
  </si>
  <si>
    <t xml:space="preserve">TOTAL LICENSE &amp; PERMITS </t>
  </si>
  <si>
    <t xml:space="preserve">TOTAL CHARGES FOR SERVICES </t>
  </si>
  <si>
    <t xml:space="preserve">TOTAL INTERGOVERNMENTAL </t>
  </si>
  <si>
    <t xml:space="preserve">TOTAL FINES &amp; FORFEITURES </t>
  </si>
  <si>
    <t>TOTAL RENTAL INCOME</t>
  </si>
  <si>
    <t xml:space="preserve">TOTAL INVESTMENT INCOME </t>
  </si>
  <si>
    <t xml:space="preserve">TOTAL GRANTS </t>
  </si>
  <si>
    <t xml:space="preserve">TOTAL DONATIONS </t>
  </si>
  <si>
    <t xml:space="preserve">TOTAL LEGISLATIVE </t>
  </si>
  <si>
    <t xml:space="preserve">TOTAL JUDICIAL </t>
  </si>
  <si>
    <t xml:space="preserve">TOTAL ELECTIONS </t>
  </si>
  <si>
    <t xml:space="preserve">TOTAL FINANCIAL &amp; ADMINISTRATION </t>
  </si>
  <si>
    <t xml:space="preserve">TOTAL JANITORIAL </t>
  </si>
  <si>
    <t>FIRE DEPARTMENT</t>
  </si>
  <si>
    <t xml:space="preserve">TOTAL FIRE DEPARTMENT </t>
  </si>
  <si>
    <t>TOTAL POLICE DEPARTMENT</t>
  </si>
  <si>
    <t xml:space="preserve">AMBULANCE </t>
  </si>
  <si>
    <t xml:space="preserve">TOTAL AMBULANCE </t>
  </si>
  <si>
    <t xml:space="preserve">TOTAL PUBLIC WORKS </t>
  </si>
  <si>
    <t xml:space="preserve">TOTAL CEMETARY </t>
  </si>
  <si>
    <t xml:space="preserve">TOTAL PARKS &amp; RECREATION </t>
  </si>
  <si>
    <t xml:space="preserve">TOTAL FAIRGROUNDS </t>
  </si>
  <si>
    <t xml:space="preserve">TOTAL MUSEUM </t>
  </si>
  <si>
    <t xml:space="preserve">TOTAL LIBRARY </t>
  </si>
  <si>
    <t xml:space="preserve">TOTAL GENERAL ADMINISTRATION </t>
  </si>
  <si>
    <t>Offsets the Surcharge Revenue Act # 335-18-106</t>
  </si>
  <si>
    <t xml:space="preserve">Surcharge Expense </t>
  </si>
  <si>
    <t>Offsets the Surcharge Expesnse Act # 421-03-390</t>
  </si>
  <si>
    <t>Police Surcharge Revenue</t>
  </si>
  <si>
    <t>TOTAL FIRE DEPARTMENT</t>
  </si>
  <si>
    <t>415-04-445</t>
  </si>
  <si>
    <t>Cell phone Expense</t>
  </si>
  <si>
    <t>433-04-445</t>
  </si>
  <si>
    <t>Transfer from Public Safety</t>
  </si>
  <si>
    <t>Proceeds of Property</t>
  </si>
  <si>
    <t>Chestnut &amp; Shop</t>
  </si>
  <si>
    <t>415-08-850</t>
  </si>
  <si>
    <t>TOTAL GRANT REVENUE</t>
  </si>
  <si>
    <t>Other Revenues</t>
  </si>
  <si>
    <t>FUND: 030 - CAPITAL IMPROVEMENT</t>
  </si>
  <si>
    <t>CAPITAL IMPROVEMENT FUND REVENUE</t>
  </si>
  <si>
    <t xml:space="preserve">Total General Revenue </t>
  </si>
  <si>
    <t xml:space="preserve">Total Charges for Services </t>
  </si>
  <si>
    <t xml:space="preserve">Total Rental Income </t>
  </si>
  <si>
    <t xml:space="preserve">Total Investment Income </t>
  </si>
  <si>
    <t xml:space="preserve">Total Other Income </t>
  </si>
  <si>
    <t xml:space="preserve">TOTAL WATER FUND REVENUE </t>
  </si>
  <si>
    <t xml:space="preserve">TOTAL WATER FUND EXPENDITURES </t>
  </si>
  <si>
    <t>Total Other Income</t>
  </si>
  <si>
    <t xml:space="preserve">TOTAL SEWER FUND REVENUE </t>
  </si>
  <si>
    <t>Total Maintenance</t>
  </si>
  <si>
    <t xml:space="preserve">TOTAL SEWER FUND EXPENDITURES </t>
  </si>
  <si>
    <t xml:space="preserve">TOTAL GARBAGE FUND REVENUE </t>
  </si>
  <si>
    <t xml:space="preserve">TOTAL GARBAGE FUND EXPENDITURES </t>
  </si>
  <si>
    <t>TOTAL CAPITAL IMPROVEMENT REVENUE</t>
  </si>
  <si>
    <t xml:space="preserve">Total Debt Service </t>
  </si>
  <si>
    <t>FUND: 080 - CONSERVATION TRUST FUND</t>
  </si>
  <si>
    <t>CONSERVATION TRUST FUND REVENUE</t>
  </si>
  <si>
    <t xml:space="preserve">Intergovernmental Revenue </t>
  </si>
  <si>
    <t xml:space="preserve">Total Intergovernmental Revenue </t>
  </si>
  <si>
    <t>TOTAL CONSERVATION TRUST FUND REVENUE</t>
  </si>
  <si>
    <t>CONSERVATION TRUST FUND EXPENDITURES</t>
  </si>
  <si>
    <t xml:space="preserve">Contracted Services </t>
  </si>
  <si>
    <t xml:space="preserve">Total Contracted Services </t>
  </si>
  <si>
    <t>Supplies &amp; Materials</t>
  </si>
  <si>
    <t xml:space="preserve">Total Supplies &amp; Materials </t>
  </si>
  <si>
    <t xml:space="preserve">Capital Purchases &amp; Equipment </t>
  </si>
  <si>
    <t>REVENUE:</t>
  </si>
  <si>
    <t>Intergovernmental Revenue</t>
  </si>
  <si>
    <t xml:space="preserve">Interest On Invesments </t>
  </si>
  <si>
    <t>CONSERVATION TRUST FUND</t>
  </si>
  <si>
    <t>Operating Transfers (Out) In</t>
  </si>
  <si>
    <t>Jet Vac Truck &amp; Garbage Truck</t>
  </si>
  <si>
    <t>PUBLIC SAFETY BUILDING EXPENSES</t>
  </si>
  <si>
    <t>PUBLIC SAFETY BUILDING REVENUES</t>
  </si>
  <si>
    <t>Debt was allocated in the Capital Improvement Fund (030) for 2019 to help the General Fund</t>
  </si>
  <si>
    <t>Charges for Services</t>
  </si>
  <si>
    <t>GRAND THEATER FUND</t>
  </si>
  <si>
    <t>FUND: 070 - GRAND THEATER</t>
  </si>
  <si>
    <t>GRAND THEATER REVENUE</t>
  </si>
  <si>
    <t>Charges for Services Revenue</t>
  </si>
  <si>
    <t>347-15-126</t>
  </si>
  <si>
    <t>Concession Income</t>
  </si>
  <si>
    <t>347-15-321</t>
  </si>
  <si>
    <t>Ticket Sales</t>
  </si>
  <si>
    <t>367-15-221</t>
  </si>
  <si>
    <t>Live Performances</t>
  </si>
  <si>
    <t>368-15-305</t>
  </si>
  <si>
    <t>Advertising Income</t>
  </si>
  <si>
    <t>362-20-210</t>
  </si>
  <si>
    <t>Rent Income</t>
  </si>
  <si>
    <t>Total Rental Income</t>
  </si>
  <si>
    <t>368-28-220</t>
  </si>
  <si>
    <t>Donations</t>
  </si>
  <si>
    <t>TOTAL GRANT THEATER REVENUE</t>
  </si>
  <si>
    <t>GRAND THEATER EXPENDITURES</t>
  </si>
  <si>
    <t xml:space="preserve">Salareis </t>
  </si>
  <si>
    <t>451-01-110</t>
  </si>
  <si>
    <t>451-02-211</t>
  </si>
  <si>
    <t>451-04-410</t>
  </si>
  <si>
    <t>451-04-416</t>
  </si>
  <si>
    <t>Janitorial Supplies</t>
  </si>
  <si>
    <t>451-04-420</t>
  </si>
  <si>
    <t>451-04-421</t>
  </si>
  <si>
    <t>451-04-425</t>
  </si>
  <si>
    <t>Water &amp; Sewer</t>
  </si>
  <si>
    <t>451-04-437</t>
  </si>
  <si>
    <t>451-04-440</t>
  </si>
  <si>
    <t>451-04-454</t>
  </si>
  <si>
    <t>Audit Fees</t>
  </si>
  <si>
    <t>451-04-466</t>
  </si>
  <si>
    <t>451-04-472</t>
  </si>
  <si>
    <t>Insurance - Fire &amp; Casualty</t>
  </si>
  <si>
    <t>451-04-492</t>
  </si>
  <si>
    <t>Agent's Fees</t>
  </si>
  <si>
    <t xml:space="preserve">Materieal &amp; Supplies </t>
  </si>
  <si>
    <t>451-05-511</t>
  </si>
  <si>
    <t>451-05-529</t>
  </si>
  <si>
    <t>Films</t>
  </si>
  <si>
    <t>451-05-530</t>
  </si>
  <si>
    <t>451-05-550</t>
  </si>
  <si>
    <t>451-05-592</t>
  </si>
  <si>
    <t>451-07-763</t>
  </si>
  <si>
    <t>Repairs - Equipment</t>
  </si>
  <si>
    <t>451-08-001</t>
  </si>
  <si>
    <t>TOTAL GRAND THEATER EXPENDITURES</t>
  </si>
  <si>
    <t>YTD (12/31)</t>
  </si>
  <si>
    <t>UNAUDITED</t>
  </si>
  <si>
    <t xml:space="preserve">Transfer to PSB </t>
  </si>
  <si>
    <t>Actual</t>
  </si>
  <si>
    <t>Lease- Innovative Water</t>
  </si>
  <si>
    <t xml:space="preserve">Rent - ED building </t>
  </si>
  <si>
    <t xml:space="preserve">Interest on Investment </t>
  </si>
  <si>
    <t>Janitors Salary</t>
  </si>
  <si>
    <t>Copier/Office Supplies</t>
  </si>
  <si>
    <t>ED Building Supplies</t>
  </si>
  <si>
    <t>ED Building Operational cost</t>
  </si>
  <si>
    <t xml:space="preserve">Savings In Bank </t>
  </si>
  <si>
    <t>Part Time Community Development salary</t>
  </si>
  <si>
    <t>COMMUNITY DEVELOPMENT (110)</t>
  </si>
  <si>
    <t>Hwy Admin/Misc - 1% Total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</si>
</sst>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_(&quot;$&quot;* #,##0_);_(&quot;$&quot;* \(#,##0\);_(&quot;$&quot;* &quot;-&quot;?_);_(@_)"/>
    <numFmt numFmtId="168" formatCode="_(&quot;$&quot;* #,##0.0_);_(&quot;$&quot;* \(#,##0.0\);_(&quot;$&quot;* &quot;-&quot;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5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"/>
    </font>
    <font>
      <sz val="10"/>
      <color theme="1"/>
      <name val="Arial "/>
    </font>
    <font>
      <b/>
      <sz val="10"/>
      <color rgb="FF000000"/>
      <name val="Arial 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l"/>
    </font>
    <font>
      <b/>
      <sz val="11"/>
      <color theme="1"/>
      <name val="Aril"/>
    </font>
    <font>
      <sz val="11"/>
      <color rgb="FF000000"/>
      <name val="Aril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59">
    <xf numFmtId="0" fontId="0" fillId="0" borderId="0" xfId="0"/>
    <xf numFmtId="44" fontId="0" fillId="0" borderId="0" xfId="1" applyFont="1"/>
    <xf numFmtId="44" fontId="16" fillId="0" borderId="0" xfId="1" applyFont="1"/>
    <xf numFmtId="0" fontId="16" fillId="0" borderId="0" xfId="0" applyFont="1"/>
    <xf numFmtId="0" fontId="0" fillId="0" borderId="0" xfId="0" applyFill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16" fillId="0" borderId="0" xfId="1" applyNumberFormat="1" applyFont="1" applyBorder="1"/>
    <xf numFmtId="0" fontId="21" fillId="0" borderId="0" xfId="43" applyFont="1"/>
    <xf numFmtId="3" fontId="19" fillId="0" borderId="0" xfId="43" applyNumberFormat="1" applyFont="1" applyAlignment="1">
      <alignment horizontal="center"/>
    </xf>
    <xf numFmtId="164" fontId="18" fillId="0" borderId="0" xfId="1" applyNumberFormat="1" applyFont="1" applyAlignment="1">
      <alignment horizontal="center"/>
    </xf>
    <xf numFmtId="164" fontId="18" fillId="0" borderId="10" xfId="1" applyNumberFormat="1" applyFont="1" applyBorder="1" applyAlignment="1">
      <alignment horizontal="center"/>
    </xf>
    <xf numFmtId="164" fontId="18" fillId="0" borderId="0" xfId="1" applyNumberFormat="1" applyFont="1" applyBorder="1" applyAlignment="1">
      <alignment horizontal="center"/>
    </xf>
    <xf numFmtId="164" fontId="18" fillId="33" borderId="0" xfId="1" applyNumberFormat="1" applyFont="1" applyFill="1" applyAlignment="1">
      <alignment horizontal="center"/>
    </xf>
    <xf numFmtId="164" fontId="20" fillId="0" borderId="0" xfId="1" applyNumberFormat="1" applyFont="1" applyAlignment="1">
      <alignment horizontal="center"/>
    </xf>
    <xf numFmtId="164" fontId="20" fillId="33" borderId="0" xfId="1" applyNumberFormat="1" applyFont="1" applyFill="1" applyAlignment="1">
      <alignment horizontal="center"/>
    </xf>
    <xf numFmtId="164" fontId="20" fillId="0" borderId="10" xfId="1" applyNumberFormat="1" applyFont="1" applyBorder="1" applyAlignment="1">
      <alignment horizontal="center"/>
    </xf>
    <xf numFmtId="0" fontId="22" fillId="0" borderId="0" xfId="0" applyFont="1"/>
    <xf numFmtId="0" fontId="18" fillId="0" borderId="0" xfId="43" applyFont="1"/>
    <xf numFmtId="0" fontId="18" fillId="0" borderId="0" xfId="43" applyFont="1" applyAlignment="1">
      <alignment horizontal="center"/>
    </xf>
    <xf numFmtId="164" fontId="18" fillId="0" borderId="10" xfId="43" applyNumberFormat="1" applyFont="1" applyBorder="1" applyAlignment="1">
      <alignment horizontal="center"/>
    </xf>
    <xf numFmtId="164" fontId="18" fillId="0" borderId="0" xfId="43" applyNumberFormat="1" applyFont="1" applyBorder="1" applyAlignment="1">
      <alignment horizontal="center"/>
    </xf>
    <xf numFmtId="0" fontId="18" fillId="33" borderId="0" xfId="43" applyFont="1" applyFill="1" applyAlignment="1">
      <alignment horizontal="center"/>
    </xf>
    <xf numFmtId="3" fontId="18" fillId="33" borderId="0" xfId="43" applyNumberFormat="1" applyFont="1" applyFill="1" applyAlignment="1">
      <alignment horizontal="center"/>
    </xf>
    <xf numFmtId="0" fontId="18" fillId="0" borderId="0" xfId="43" applyFont="1" applyAlignment="1">
      <alignment horizontal="left"/>
    </xf>
    <xf numFmtId="3" fontId="18" fillId="0" borderId="0" xfId="43" applyNumberFormat="1" applyFont="1"/>
    <xf numFmtId="3" fontId="18" fillId="0" borderId="0" xfId="43" applyNumberFormat="1" applyFont="1" applyAlignment="1">
      <alignment horizontal="center"/>
    </xf>
    <xf numFmtId="0" fontId="18" fillId="33" borderId="0" xfId="43" applyFont="1" applyFill="1"/>
    <xf numFmtId="0" fontId="23" fillId="0" borderId="0" xfId="0" applyFont="1"/>
    <xf numFmtId="164" fontId="23" fillId="0" borderId="0" xfId="1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3" fillId="0" borderId="0" xfId="0" applyFont="1" applyFill="1"/>
    <xf numFmtId="164" fontId="21" fillId="0" borderId="10" xfId="43" applyNumberFormat="1" applyFont="1" applyBorder="1" applyAlignment="1">
      <alignment horizontal="center"/>
    </xf>
    <xf numFmtId="164" fontId="21" fillId="0" borderId="10" xfId="1" applyNumberFormat="1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0" fontId="18" fillId="0" borderId="0" xfId="43" applyFont="1" applyFill="1"/>
    <xf numFmtId="166" fontId="0" fillId="0" borderId="0" xfId="0" applyNumberFormat="1"/>
    <xf numFmtId="164" fontId="18" fillId="0" borderId="0" xfId="1" applyNumberFormat="1" applyFont="1" applyFill="1" applyAlignment="1">
      <alignment horizontal="center"/>
    </xf>
    <xf numFmtId="3" fontId="0" fillId="0" borderId="0" xfId="0" applyNumberFormat="1"/>
    <xf numFmtId="3" fontId="0" fillId="0" borderId="0" xfId="1" applyNumberFormat="1" applyFont="1"/>
    <xf numFmtId="164" fontId="16" fillId="0" borderId="0" xfId="1" applyNumberFormat="1" applyFont="1" applyFill="1" applyBorder="1"/>
    <xf numFmtId="3" fontId="0" fillId="0" borderId="0" xfId="0" applyNumberFormat="1" applyBorder="1"/>
    <xf numFmtId="0" fontId="0" fillId="0" borderId="0" xfId="0" applyBorder="1"/>
    <xf numFmtId="164" fontId="18" fillId="0" borderId="0" xfId="0" applyNumberFormat="1" applyFont="1" applyAlignment="1">
      <alignment vertical="top" shrinkToFit="1"/>
    </xf>
    <xf numFmtId="164" fontId="18" fillId="0" borderId="0" xfId="0" applyNumberFormat="1" applyFont="1" applyFill="1" applyAlignment="1">
      <alignment vertical="top" shrinkToFit="1"/>
    </xf>
    <xf numFmtId="164" fontId="23" fillId="0" borderId="0" xfId="1" applyNumberFormat="1" applyFont="1" applyFill="1" applyAlignment="1">
      <alignment horizontal="center"/>
    </xf>
    <xf numFmtId="164" fontId="18" fillId="0" borderId="0" xfId="0" applyNumberFormat="1" applyFont="1" applyAlignment="1">
      <alignment shrinkToFit="1"/>
    </xf>
    <xf numFmtId="0" fontId="21" fillId="0" borderId="0" xfId="43" applyFont="1" applyAlignment="1">
      <alignment horizontal="left"/>
    </xf>
    <xf numFmtId="0" fontId="21" fillId="0" borderId="0" xfId="43" applyFont="1" applyAlignment="1">
      <alignment wrapText="1"/>
    </xf>
    <xf numFmtId="0" fontId="21" fillId="0" borderId="0" xfId="43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164" fontId="21" fillId="0" borderId="0" xfId="43" applyNumberFormat="1" applyFont="1" applyBorder="1" applyAlignment="1">
      <alignment horizontal="center"/>
    </xf>
    <xf numFmtId="164" fontId="0" fillId="0" borderId="0" xfId="1" applyNumberFormat="1" applyFont="1" applyFill="1" applyAlignment="1"/>
    <xf numFmtId="0" fontId="21" fillId="0" borderId="0" xfId="43" applyFont="1" applyFill="1"/>
    <xf numFmtId="164" fontId="16" fillId="0" borderId="0" xfId="1" applyNumberFormat="1" applyFont="1" applyFill="1" applyBorder="1" applyAlignment="1"/>
    <xf numFmtId="0" fontId="21" fillId="0" borderId="0" xfId="43" applyFont="1" applyAlignment="1">
      <alignment horizontal="left"/>
    </xf>
    <xf numFmtId="0" fontId="23" fillId="0" borderId="0" xfId="0" applyFont="1" applyFill="1" applyAlignment="1"/>
    <xf numFmtId="4" fontId="23" fillId="0" borderId="0" xfId="0" applyNumberFormat="1" applyFont="1" applyAlignment="1"/>
    <xf numFmtId="0" fontId="22" fillId="0" borderId="0" xfId="0" applyFont="1" applyFill="1" applyAlignment="1"/>
    <xf numFmtId="44" fontId="22" fillId="0" borderId="0" xfId="1" applyFont="1" applyAlignment="1"/>
    <xf numFmtId="0" fontId="22" fillId="0" borderId="0" xfId="1" applyNumberFormat="1" applyFont="1" applyAlignment="1">
      <alignment horizontal="center"/>
    </xf>
    <xf numFmtId="49" fontId="22" fillId="0" borderId="0" xfId="1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44" fontId="22" fillId="0" borderId="0" xfId="1" applyFont="1" applyAlignment="1">
      <alignment horizontal="center"/>
    </xf>
    <xf numFmtId="4" fontId="22" fillId="0" borderId="0" xfId="1" applyNumberFormat="1" applyFont="1" applyAlignment="1">
      <alignment horizontal="center"/>
    </xf>
    <xf numFmtId="44" fontId="23" fillId="0" borderId="0" xfId="1" applyFont="1" applyAlignment="1"/>
    <xf numFmtId="164" fontId="23" fillId="0" borderId="0" xfId="1" applyNumberFormat="1" applyFont="1" applyAlignment="1"/>
    <xf numFmtId="164" fontId="23" fillId="0" borderId="0" xfId="1" applyNumberFormat="1" applyFont="1" applyBorder="1" applyAlignment="1"/>
    <xf numFmtId="0" fontId="21" fillId="0" borderId="0" xfId="43" applyFont="1" applyAlignment="1"/>
    <xf numFmtId="164" fontId="22" fillId="0" borderId="10" xfId="1" applyNumberFormat="1" applyFont="1" applyBorder="1" applyAlignment="1"/>
    <xf numFmtId="164" fontId="22" fillId="0" borderId="10" xfId="0" applyNumberFormat="1" applyFont="1" applyBorder="1" applyAlignment="1"/>
    <xf numFmtId="164" fontId="21" fillId="0" borderId="10" xfId="0" applyNumberFormat="1" applyFont="1" applyBorder="1" applyAlignment="1">
      <alignment shrinkToFit="1"/>
    </xf>
    <xf numFmtId="164" fontId="22" fillId="0" borderId="0" xfId="1" applyNumberFormat="1" applyFont="1" applyBorder="1" applyAlignment="1"/>
    <xf numFmtId="164" fontId="23" fillId="0" borderId="0" xfId="0" applyNumberFormat="1" applyFont="1" applyAlignment="1"/>
    <xf numFmtId="164" fontId="23" fillId="0" borderId="0" xfId="1" applyNumberFormat="1" applyFont="1" applyFill="1" applyAlignment="1"/>
    <xf numFmtId="164" fontId="23" fillId="0" borderId="0" xfId="0" applyNumberFormat="1" applyFont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164" fontId="22" fillId="0" borderId="10" xfId="0" applyNumberFormat="1" applyFont="1" applyBorder="1" applyAlignment="1">
      <alignment horizontal="right"/>
    </xf>
    <xf numFmtId="164" fontId="23" fillId="0" borderId="10" xfId="0" applyNumberFormat="1" applyFont="1" applyBorder="1" applyAlignment="1"/>
    <xf numFmtId="164" fontId="22" fillId="0" borderId="0" xfId="1" applyNumberFormat="1" applyFont="1" applyAlignment="1"/>
    <xf numFmtId="0" fontId="23" fillId="0" borderId="0" xfId="0" applyFont="1" applyAlignment="1"/>
    <xf numFmtId="4" fontId="23" fillId="0" borderId="0" xfId="0" applyNumberFormat="1" applyFont="1" applyFill="1" applyAlignment="1"/>
    <xf numFmtId="0" fontId="22" fillId="0" borderId="0" xfId="0" applyFont="1" applyFill="1" applyBorder="1" applyAlignment="1"/>
    <xf numFmtId="166" fontId="23" fillId="0" borderId="0" xfId="0" applyNumberFormat="1" applyFont="1" applyBorder="1" applyAlignment="1"/>
    <xf numFmtId="0" fontId="22" fillId="0" borderId="0" xfId="0" applyFont="1" applyAlignment="1"/>
    <xf numFmtId="0" fontId="25" fillId="0" borderId="0" xfId="0" applyFont="1" applyAlignment="1"/>
    <xf numFmtId="165" fontId="25" fillId="0" borderId="0" xfId="0" applyNumberFormat="1" applyFont="1" applyAlignment="1">
      <alignment horizontal="center"/>
    </xf>
    <xf numFmtId="0" fontId="22" fillId="0" borderId="0" xfId="0" applyFont="1" applyAlignment="1">
      <alignment wrapText="1"/>
    </xf>
    <xf numFmtId="0" fontId="18" fillId="0" borderId="0" xfId="43" applyFont="1" applyAlignment="1">
      <alignment horizontal="left" indent="1"/>
    </xf>
    <xf numFmtId="0" fontId="18" fillId="0" borderId="0" xfId="43" applyFont="1" applyFill="1" applyAlignment="1">
      <alignment horizontal="left" indent="1"/>
    </xf>
    <xf numFmtId="0" fontId="23" fillId="0" borderId="0" xfId="0" applyFont="1" applyFill="1" applyAlignment="1">
      <alignment horizontal="left" indent="1"/>
    </xf>
    <xf numFmtId="0" fontId="23" fillId="33" borderId="0" xfId="0" applyFont="1" applyFill="1" applyAlignment="1">
      <alignment horizontal="left" indent="1"/>
    </xf>
    <xf numFmtId="0" fontId="23" fillId="0" borderId="0" xfId="0" applyFont="1" applyAlignment="1">
      <alignment horizontal="left" indent="1"/>
    </xf>
    <xf numFmtId="164" fontId="22" fillId="0" borderId="13" xfId="1" applyNumberFormat="1" applyFont="1" applyBorder="1" applyAlignment="1"/>
    <xf numFmtId="164" fontId="22" fillId="0" borderId="13" xfId="0" applyNumberFormat="1" applyFont="1" applyBorder="1" applyAlignment="1"/>
    <xf numFmtId="164" fontId="23" fillId="0" borderId="0" xfId="1" applyNumberFormat="1" applyFont="1" applyBorder="1" applyAlignment="1">
      <alignment horizontal="center"/>
    </xf>
    <xf numFmtId="164" fontId="22" fillId="0" borderId="10" xfId="1" applyNumberFormat="1" applyFont="1" applyBorder="1" applyAlignment="1">
      <alignment horizontal="center"/>
    </xf>
    <xf numFmtId="164" fontId="22" fillId="0" borderId="10" xfId="1" applyNumberFormat="1" applyFont="1" applyFill="1" applyBorder="1" applyAlignment="1">
      <alignment horizontal="center"/>
    </xf>
    <xf numFmtId="164" fontId="23" fillId="0" borderId="12" xfId="1" applyNumberFormat="1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1" fillId="0" borderId="0" xfId="43" applyFont="1" applyAlignment="1">
      <alignment horizontal="left"/>
    </xf>
    <xf numFmtId="164" fontId="18" fillId="0" borderId="0" xfId="1" applyNumberFormat="1" applyFont="1" applyAlignment="1">
      <alignment vertical="top" shrinkToFit="1"/>
    </xf>
    <xf numFmtId="0" fontId="22" fillId="0" borderId="0" xfId="0" applyFont="1" applyFill="1" applyAlignment="1">
      <alignment horizontal="center"/>
    </xf>
    <xf numFmtId="0" fontId="21" fillId="0" borderId="0" xfId="43" applyFont="1" applyAlignment="1">
      <alignment horizontal="left" indent="1"/>
    </xf>
    <xf numFmtId="0" fontId="21" fillId="0" borderId="0" xfId="43" applyFont="1" applyAlignment="1">
      <alignment horizontal="left"/>
    </xf>
    <xf numFmtId="0" fontId="22" fillId="0" borderId="0" xfId="0" applyFont="1" applyFill="1"/>
    <xf numFmtId="44" fontId="22" fillId="0" borderId="0" xfId="1" applyFont="1"/>
    <xf numFmtId="164" fontId="23" fillId="0" borderId="0" xfId="1" applyNumberFormat="1" applyFont="1"/>
    <xf numFmtId="164" fontId="22" fillId="0" borderId="10" xfId="1" applyNumberFormat="1" applyFont="1" applyBorder="1"/>
    <xf numFmtId="164" fontId="22" fillId="0" borderId="0" xfId="1" applyNumberFormat="1" applyFont="1"/>
    <xf numFmtId="164" fontId="23" fillId="0" borderId="0" xfId="1" applyNumberFormat="1" applyFont="1" applyFill="1"/>
    <xf numFmtId="44" fontId="23" fillId="0" borderId="0" xfId="1" applyFont="1"/>
    <xf numFmtId="164" fontId="23" fillId="0" borderId="0" xfId="0" applyNumberFormat="1" applyFont="1"/>
    <xf numFmtId="0" fontId="25" fillId="0" borderId="0" xfId="0" applyFont="1"/>
    <xf numFmtId="0" fontId="22" fillId="0" borderId="0" xfId="0" applyFont="1" applyAlignment="1">
      <alignment horizontal="left"/>
    </xf>
    <xf numFmtId="164" fontId="21" fillId="0" borderId="0" xfId="1" applyNumberFormat="1" applyFont="1" applyBorder="1" applyAlignment="1">
      <alignment horizontal="center"/>
    </xf>
    <xf numFmtId="164" fontId="26" fillId="0" borderId="10" xfId="1" applyNumberFormat="1" applyFont="1" applyBorder="1" applyAlignment="1">
      <alignment horizontal="center"/>
    </xf>
    <xf numFmtId="164" fontId="18" fillId="0" borderId="0" xfId="1" applyNumberFormat="1" applyFont="1" applyFill="1" applyBorder="1" applyAlignment="1">
      <alignment horizontal="center"/>
    </xf>
    <xf numFmtId="0" fontId="21" fillId="33" borderId="0" xfId="43" applyFont="1" applyFill="1"/>
    <xf numFmtId="0" fontId="0" fillId="0" borderId="0" xfId="0" applyAlignment="1">
      <alignment horizontal="left"/>
    </xf>
    <xf numFmtId="0" fontId="22" fillId="0" borderId="0" xfId="0" applyFont="1" applyAlignment="1">
      <alignment horizontal="left" indent="1"/>
    </xf>
    <xf numFmtId="0" fontId="23" fillId="0" borderId="0" xfId="0" applyFont="1" applyAlignment="1">
      <alignment horizontal="left" indent="3"/>
    </xf>
    <xf numFmtId="164" fontId="22" fillId="0" borderId="0" xfId="1" applyNumberFormat="1" applyFont="1" applyBorder="1" applyAlignment="1">
      <alignment horizontal="center"/>
    </xf>
    <xf numFmtId="44" fontId="23" fillId="0" borderId="0" xfId="1" applyFont="1" applyAlignment="1">
      <alignment horizontal="center"/>
    </xf>
    <xf numFmtId="0" fontId="18" fillId="0" borderId="0" xfId="43" applyFont="1" applyAlignment="1">
      <alignment horizontal="left" indent="3"/>
    </xf>
    <xf numFmtId="0" fontId="18" fillId="0" borderId="0" xfId="43"/>
    <xf numFmtId="0" fontId="27" fillId="0" borderId="0" xfId="0" applyFont="1"/>
    <xf numFmtId="164" fontId="27" fillId="0" borderId="0" xfId="0" applyNumberFormat="1" applyFont="1"/>
    <xf numFmtId="0" fontId="28" fillId="0" borderId="0" xfId="0" applyFont="1"/>
    <xf numFmtId="164" fontId="22" fillId="0" borderId="13" xfId="0" applyNumberFormat="1" applyFont="1" applyBorder="1"/>
    <xf numFmtId="164" fontId="22" fillId="0" borderId="13" xfId="1" applyNumberFormat="1" applyFont="1" applyBorder="1"/>
    <xf numFmtId="164" fontId="23" fillId="0" borderId="12" xfId="1" applyNumberFormat="1" applyFont="1" applyBorder="1"/>
    <xf numFmtId="164" fontId="22" fillId="0" borderId="11" xfId="1" applyNumberFormat="1" applyFont="1" applyBorder="1"/>
    <xf numFmtId="164" fontId="23" fillId="0" borderId="0" xfId="1" applyNumberFormat="1" applyFont="1" applyBorder="1"/>
    <xf numFmtId="164" fontId="22" fillId="0" borderId="0" xfId="1" applyNumberFormat="1" applyFont="1" applyBorder="1"/>
    <xf numFmtId="4" fontId="16" fillId="0" borderId="0" xfId="0" applyNumberFormat="1" applyFont="1"/>
    <xf numFmtId="164" fontId="18" fillId="0" borderId="0" xfId="0" applyNumberFormat="1" applyFont="1" applyFill="1" applyAlignment="1">
      <alignment shrinkToFit="1"/>
    </xf>
    <xf numFmtId="164" fontId="20" fillId="0" borderId="0" xfId="1" applyNumberFormat="1" applyFont="1" applyFill="1" applyAlignment="1">
      <alignment horizontal="center"/>
    </xf>
    <xf numFmtId="44" fontId="24" fillId="0" borderId="0" xfId="1" applyFont="1"/>
    <xf numFmtId="44" fontId="21" fillId="0" borderId="0" xfId="1" applyFont="1" applyAlignment="1">
      <alignment horizontal="left"/>
    </xf>
    <xf numFmtId="44" fontId="18" fillId="0" borderId="0" xfId="1" applyFont="1" applyAlignment="1">
      <alignment horizontal="center"/>
    </xf>
    <xf numFmtId="44" fontId="23" fillId="0" borderId="0" xfId="1" applyFont="1" applyFill="1" applyAlignment="1">
      <alignment wrapText="1"/>
    </xf>
    <xf numFmtId="44" fontId="23" fillId="0" borderId="0" xfId="1" applyFont="1" applyFill="1"/>
    <xf numFmtId="44" fontId="18" fillId="0" borderId="0" xfId="1" applyFont="1" applyBorder="1" applyAlignment="1">
      <alignment horizontal="center"/>
    </xf>
    <xf numFmtId="44" fontId="18" fillId="0" borderId="0" xfId="1" applyFont="1" applyFill="1" applyAlignment="1">
      <alignment horizontal="center"/>
    </xf>
    <xf numFmtId="44" fontId="18" fillId="33" borderId="0" xfId="1" applyFont="1" applyFill="1" applyAlignment="1">
      <alignment horizontal="center"/>
    </xf>
    <xf numFmtId="44" fontId="21" fillId="0" borderId="0" xfId="1" applyFont="1"/>
    <xf numFmtId="44" fontId="18" fillId="0" borderId="0" xfId="1" applyFont="1" applyFill="1"/>
    <xf numFmtId="44" fontId="18" fillId="0" borderId="0" xfId="1" applyFont="1"/>
    <xf numFmtId="44" fontId="20" fillId="33" borderId="0" xfId="1" applyFont="1" applyFill="1" applyAlignment="1">
      <alignment horizontal="center"/>
    </xf>
    <xf numFmtId="44" fontId="0" fillId="0" borderId="0" xfId="0" applyNumberFormat="1" applyFill="1"/>
    <xf numFmtId="44" fontId="23" fillId="35" borderId="0" xfId="1" applyFont="1" applyFill="1"/>
    <xf numFmtId="44" fontId="0" fillId="0" borderId="0" xfId="1" applyFont="1" applyFill="1"/>
    <xf numFmtId="0" fontId="23" fillId="0" borderId="0" xfId="43" applyFont="1" applyFill="1"/>
    <xf numFmtId="0" fontId="1" fillId="0" borderId="0" xfId="0" applyFont="1" applyFill="1"/>
    <xf numFmtId="44" fontId="23" fillId="34" borderId="0" xfId="1" applyFont="1" applyFill="1" applyAlignment="1">
      <alignment wrapText="1"/>
    </xf>
    <xf numFmtId="0" fontId="20" fillId="0" borderId="0" xfId="0" applyFont="1" applyFill="1"/>
    <xf numFmtId="0" fontId="20" fillId="0" borderId="0" xfId="0" applyFont="1" applyFill="1" applyAlignment="1">
      <alignment horizontal="left" indent="3"/>
    </xf>
    <xf numFmtId="164" fontId="18" fillId="0" borderId="0" xfId="1" applyNumberFormat="1" applyFont="1" applyFill="1" applyAlignment="1">
      <alignment vertical="top" shrinkToFit="1"/>
    </xf>
    <xf numFmtId="44" fontId="23" fillId="35" borderId="0" xfId="1" applyFont="1" applyFill="1" applyAlignment="1">
      <alignment wrapText="1"/>
    </xf>
    <xf numFmtId="164" fontId="23" fillId="0" borderId="0" xfId="1" applyNumberFormat="1" applyFont="1" applyFill="1" applyBorder="1" applyAlignment="1"/>
    <xf numFmtId="164" fontId="23" fillId="0" borderId="0" xfId="0" applyNumberFormat="1" applyFont="1" applyFill="1" applyAlignment="1"/>
    <xf numFmtId="164" fontId="22" fillId="0" borderId="10" xfId="1" applyNumberFormat="1" applyFont="1" applyFill="1" applyBorder="1" applyAlignment="1"/>
    <xf numFmtId="164" fontId="22" fillId="0" borderId="14" xfId="1" applyNumberFormat="1" applyFont="1" applyBorder="1"/>
    <xf numFmtId="0" fontId="23" fillId="0" borderId="0" xfId="0" applyFont="1" applyFill="1" applyAlignment="1">
      <alignment horizontal="left" indent="3"/>
    </xf>
    <xf numFmtId="0" fontId="18" fillId="0" borderId="0" xfId="43" applyFont="1" applyFill="1" applyAlignment="1">
      <alignment horizontal="left" indent="3"/>
    </xf>
    <xf numFmtId="164" fontId="18" fillId="0" borderId="0" xfId="1" applyNumberFormat="1" applyFont="1" applyFill="1"/>
    <xf numFmtId="0" fontId="18" fillId="0" borderId="0" xfId="43" applyFill="1"/>
    <xf numFmtId="44" fontId="18" fillId="0" borderId="0" xfId="1" applyFont="1" applyAlignment="1">
      <alignment wrapText="1"/>
    </xf>
    <xf numFmtId="44" fontId="22" fillId="0" borderId="0" xfId="1" applyFont="1" applyAlignment="1">
      <alignment horizontal="left" wrapText="1"/>
    </xf>
    <xf numFmtId="0" fontId="22" fillId="0" borderId="0" xfId="0" applyFont="1" applyAlignment="1">
      <alignment vertical="center" wrapText="1"/>
    </xf>
    <xf numFmtId="0" fontId="22" fillId="0" borderId="0" xfId="0" applyFont="1" applyFill="1" applyAlignment="1">
      <alignment horizontal="center"/>
    </xf>
    <xf numFmtId="0" fontId="21" fillId="0" borderId="0" xfId="43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applyFont="1" applyFill="1" applyAlignment="1"/>
    <xf numFmtId="44" fontId="29" fillId="0" borderId="0" xfId="1" applyFont="1" applyAlignment="1"/>
    <xf numFmtId="4" fontId="30" fillId="0" borderId="0" xfId="0" applyNumberFormat="1" applyFont="1" applyAlignment="1"/>
    <xf numFmtId="0" fontId="29" fillId="0" borderId="0" xfId="1" applyNumberFormat="1" applyFont="1" applyAlignment="1">
      <alignment horizontal="center"/>
    </xf>
    <xf numFmtId="0" fontId="31" fillId="0" borderId="0" xfId="43" applyFont="1" applyAlignment="1">
      <alignment horizontal="center" wrapText="1"/>
    </xf>
    <xf numFmtId="49" fontId="29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center"/>
    </xf>
    <xf numFmtId="44" fontId="29" fillId="0" borderId="0" xfId="1" applyFont="1" applyAlignment="1">
      <alignment horizontal="center"/>
    </xf>
    <xf numFmtId="4" fontId="29" fillId="0" borderId="0" xfId="1" applyNumberFormat="1" applyFont="1" applyAlignment="1">
      <alignment horizontal="center"/>
    </xf>
    <xf numFmtId="0" fontId="30" fillId="0" borderId="0" xfId="0" applyFont="1"/>
    <xf numFmtId="0" fontId="30" fillId="0" borderId="0" xfId="0" applyFont="1" applyFill="1"/>
    <xf numFmtId="164" fontId="30" fillId="0" borderId="0" xfId="1" applyNumberFormat="1" applyFont="1"/>
    <xf numFmtId="0" fontId="29" fillId="0" borderId="0" xfId="0" applyFont="1" applyFill="1"/>
    <xf numFmtId="164" fontId="29" fillId="0" borderId="10" xfId="1" applyNumberFormat="1" applyFont="1" applyBorder="1"/>
    <xf numFmtId="164" fontId="30" fillId="0" borderId="10" xfId="0" applyNumberFormat="1" applyFont="1" applyBorder="1"/>
    <xf numFmtId="164" fontId="29" fillId="0" borderId="0" xfId="1" applyNumberFormat="1" applyFont="1"/>
    <xf numFmtId="44" fontId="30" fillId="0" borderId="0" xfId="1" applyFont="1"/>
    <xf numFmtId="164" fontId="30" fillId="0" borderId="0" xfId="0" applyNumberFormat="1" applyFont="1"/>
    <xf numFmtId="0" fontId="30" fillId="0" borderId="0" xfId="0" applyFont="1" applyFill="1" applyAlignment="1">
      <alignment horizontal="left" indent="1"/>
    </xf>
    <xf numFmtId="0" fontId="30" fillId="0" borderId="0" xfId="0" applyFont="1" applyAlignment="1">
      <alignment horizontal="left" indent="1"/>
    </xf>
    <xf numFmtId="164" fontId="30" fillId="0" borderId="0" xfId="1" applyNumberFormat="1" applyFont="1" applyAlignment="1">
      <alignment horizontal="right"/>
    </xf>
    <xf numFmtId="164" fontId="29" fillId="0" borderId="13" xfId="0" applyNumberFormat="1" applyFont="1" applyBorder="1"/>
    <xf numFmtId="44" fontId="23" fillId="0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164" fontId="23" fillId="0" borderId="10" xfId="1" applyNumberFormat="1" applyFont="1" applyBorder="1" applyAlignment="1">
      <alignment horizontal="center"/>
    </xf>
    <xf numFmtId="164" fontId="23" fillId="0" borderId="10" xfId="0" applyNumberFormat="1" applyFont="1" applyBorder="1" applyAlignment="1">
      <alignment horizontal="center"/>
    </xf>
    <xf numFmtId="164" fontId="23" fillId="0" borderId="0" xfId="0" applyNumberFormat="1" applyFont="1" applyBorder="1" applyAlignment="1">
      <alignment horizontal="center"/>
    </xf>
    <xf numFmtId="166" fontId="23" fillId="0" borderId="0" xfId="0" applyNumberFormat="1" applyFont="1"/>
    <xf numFmtId="4" fontId="23" fillId="0" borderId="0" xfId="0" applyNumberFormat="1" applyFont="1"/>
    <xf numFmtId="164" fontId="23" fillId="0" borderId="10" xfId="1" applyNumberFormat="1" applyFont="1" applyBorder="1"/>
    <xf numFmtId="164" fontId="22" fillId="0" borderId="0" xfId="0" applyNumberFormat="1" applyFont="1" applyBorder="1" applyAlignment="1">
      <alignment horizontal="center"/>
    </xf>
    <xf numFmtId="164" fontId="22" fillId="0" borderId="10" xfId="0" applyNumberFormat="1" applyFont="1" applyFill="1" applyBorder="1"/>
    <xf numFmtId="0" fontId="20" fillId="0" borderId="0" xfId="0" applyFont="1" applyFill="1" applyAlignment="1">
      <alignment horizontal="left" indent="1"/>
    </xf>
    <xf numFmtId="164" fontId="20" fillId="0" borderId="0" xfId="1" applyNumberFormat="1" applyFont="1" applyFill="1" applyAlignment="1">
      <alignment vertical="top" shrinkToFit="1"/>
    </xf>
    <xf numFmtId="164" fontId="22" fillId="0" borderId="10" xfId="0" applyNumberFormat="1" applyFont="1" applyBorder="1"/>
    <xf numFmtId="164" fontId="18" fillId="35" borderId="0" xfId="1" applyNumberFormat="1" applyFont="1" applyFill="1" applyAlignment="1">
      <alignment vertical="top" shrinkToFi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/>
    <xf numFmtId="0" fontId="1" fillId="0" borderId="0" xfId="0" applyFont="1"/>
    <xf numFmtId="0" fontId="32" fillId="0" borderId="0" xfId="43" applyFont="1" applyAlignment="1">
      <alignment horizontal="left"/>
    </xf>
    <xf numFmtId="0" fontId="34" fillId="0" borderId="0" xfId="1" applyNumberFormat="1" applyFont="1" applyAlignment="1">
      <alignment horizontal="center"/>
    </xf>
    <xf numFmtId="0" fontId="32" fillId="0" borderId="0" xfId="43" applyFont="1" applyAlignment="1">
      <alignment horizontal="center" wrapText="1"/>
    </xf>
    <xf numFmtId="49" fontId="34" fillId="0" borderId="0" xfId="1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44" fontId="36" fillId="0" borderId="0" xfId="1" applyFont="1" applyAlignment="1">
      <alignment horizontal="center"/>
    </xf>
    <xf numFmtId="4" fontId="36" fillId="0" borderId="0" xfId="1" applyNumberFormat="1" applyFont="1" applyAlignment="1">
      <alignment horizontal="center"/>
    </xf>
    <xf numFmtId="0" fontId="36" fillId="0" borderId="0" xfId="0" applyFont="1"/>
    <xf numFmtId="0" fontId="37" fillId="0" borderId="0" xfId="43" applyFont="1"/>
    <xf numFmtId="0" fontId="37" fillId="0" borderId="0" xfId="43" applyFont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 indent="1"/>
    </xf>
    <xf numFmtId="164" fontId="35" fillId="0" borderId="0" xfId="1" applyNumberFormat="1" applyFont="1" applyAlignment="1">
      <alignment horizontal="center"/>
    </xf>
    <xf numFmtId="164" fontId="36" fillId="0" borderId="10" xfId="1" applyNumberFormat="1" applyFont="1" applyBorder="1" applyAlignment="1">
      <alignment horizontal="center"/>
    </xf>
    <xf numFmtId="164" fontId="36" fillId="0" borderId="0" xfId="1" applyNumberFormat="1" applyFont="1" applyBorder="1" applyAlignment="1">
      <alignment horizontal="center"/>
    </xf>
    <xf numFmtId="164" fontId="35" fillId="0" borderId="0" xfId="1" applyNumberFormat="1" applyFont="1" applyBorder="1" applyAlignment="1">
      <alignment horizontal="center"/>
    </xf>
    <xf numFmtId="164" fontId="36" fillId="0" borderId="10" xfId="0" applyNumberFormat="1" applyFont="1" applyBorder="1" applyAlignment="1">
      <alignment horizontal="center"/>
    </xf>
    <xf numFmtId="164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167" fontId="36" fillId="0" borderId="10" xfId="0" applyNumberFormat="1" applyFont="1" applyBorder="1" applyAlignment="1">
      <alignment horizontal="center"/>
    </xf>
    <xf numFmtId="167" fontId="36" fillId="0" borderId="0" xfId="0" applyNumberFormat="1" applyFont="1" applyAlignment="1">
      <alignment horizontal="center"/>
    </xf>
    <xf numFmtId="168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left" wrapText="1" indent="1"/>
    </xf>
    <xf numFmtId="0" fontId="27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/>
    </xf>
    <xf numFmtId="0" fontId="21" fillId="0" borderId="0" xfId="43" applyFont="1" applyAlignment="1">
      <alignment horizontal="left" indent="1"/>
    </xf>
    <xf numFmtId="0" fontId="21" fillId="0" borderId="0" xfId="43" applyFont="1" applyAlignment="1">
      <alignment horizontal="left"/>
    </xf>
    <xf numFmtId="0" fontId="29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indent="2"/>
    </xf>
    <xf numFmtId="0" fontId="22" fillId="33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32" fillId="0" borderId="0" xfId="43" applyFon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99FF"/>
      <color rgb="FFFF00FF"/>
      <color rgb="FFEC80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wallace/Desktop/2019%20BUDGET/REVISED%20BUDGET%202019%20-%20Rocky%20For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estrada/Desktop/City%20of%20RF/BUDGET/BUDGET%202020%20W-YTD%20(11-30-2019)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ummary - GF"/>
      <sheetName val="Worksheet - GF (10)"/>
      <sheetName val="Summary - Water"/>
      <sheetName val="Worksheet - Water Fund (20)"/>
      <sheetName val="Summary - Sewer Fund"/>
      <sheetName val="Worksheet - Sewer Fund (21)"/>
      <sheetName val="Summary - Garbage Fund"/>
      <sheetName val="Worksheet - Garbage Fund (22)"/>
      <sheetName val="Summary - CIP Fund"/>
      <sheetName val="Worksheet - CIP Fund (30)"/>
      <sheetName val="Summary - CTF"/>
      <sheetName val="Worksheet - CTF (80)"/>
      <sheetName val="Summary - PS Bldg Fund"/>
      <sheetName val="Summary - Grand Theater"/>
      <sheetName val="Worksheet - Grand Theater (70)"/>
      <sheetName val="Summary - Monument Maint."/>
      <sheetName val="Summary - CD (110)"/>
      <sheetName val="Summary - Gobin (12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1">
          <cell r="E31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ummary - General Fund"/>
      <sheetName val="Worksheet - General Fund (010)"/>
      <sheetName val="Summary - PS Bldg Fund (040)"/>
      <sheetName val="Summary - Water Fund"/>
      <sheetName val="Worksheet - Water Fund (020)"/>
      <sheetName val="Summary - Sewer Fund"/>
      <sheetName val="Worksheet - Sewer Fund (021)"/>
      <sheetName val="Summary - Garbage Fund"/>
      <sheetName val="Worksheet - Garbage Fund (022)"/>
      <sheetName val="Summary - CIP Fund"/>
      <sheetName val="Worksheet - CIP Fund (030)"/>
      <sheetName val="Summary - CTF"/>
      <sheetName val="Worksheet - CTF (080)"/>
      <sheetName val="Summary - Grand Theater"/>
      <sheetName val="Worksheet - Grand Theater (070)"/>
      <sheetName val="Summary - CD (110)"/>
      <sheetName val="Summary - Gobin (12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3">
          <cell r="E13">
            <v>97200</v>
          </cell>
          <cell r="F13">
            <v>0</v>
          </cell>
          <cell r="G13">
            <v>84256</v>
          </cell>
          <cell r="H13">
            <v>91915.636363636382</v>
          </cell>
        </row>
        <row r="17">
          <cell r="E17">
            <v>1700</v>
          </cell>
          <cell r="F17">
            <v>0</v>
          </cell>
          <cell r="G17">
            <v>2630</v>
          </cell>
          <cell r="H17">
            <v>2869.090909090909</v>
          </cell>
        </row>
        <row r="21">
          <cell r="E21">
            <v>1400</v>
          </cell>
          <cell r="F21">
            <v>0</v>
          </cell>
          <cell r="G21">
            <v>850</v>
          </cell>
          <cell r="H21">
            <v>927.27272727272725</v>
          </cell>
        </row>
        <row r="38">
          <cell r="E38">
            <v>30142</v>
          </cell>
          <cell r="F38">
            <v>0</v>
          </cell>
          <cell r="G38">
            <v>24179.129999999997</v>
          </cell>
          <cell r="H38">
            <v>26363.641581818181</v>
          </cell>
        </row>
        <row r="52">
          <cell r="E52">
            <v>25486</v>
          </cell>
          <cell r="G52">
            <v>22245.739999999998</v>
          </cell>
          <cell r="H52">
            <v>24268.080000000002</v>
          </cell>
        </row>
        <row r="60">
          <cell r="E60">
            <v>50500</v>
          </cell>
          <cell r="F60">
            <v>0</v>
          </cell>
          <cell r="G60">
            <v>46567.67</v>
          </cell>
          <cell r="H60">
            <v>50801.094545454544</v>
          </cell>
        </row>
        <row r="64">
          <cell r="E64">
            <v>600</v>
          </cell>
          <cell r="F64">
            <v>0</v>
          </cell>
          <cell r="G64">
            <v>115.1</v>
          </cell>
          <cell r="H64">
            <v>125.56363636363636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</row>
      </sheetData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2"/>
  <sheetViews>
    <sheetView workbookViewId="0">
      <pane ySplit="5" topLeftCell="A285" activePane="bottomLeft" state="frozen"/>
      <selection pane="bottomLeft" activeCell="G303" sqref="G303"/>
    </sheetView>
  </sheetViews>
  <sheetFormatPr defaultRowHeight="15"/>
  <cols>
    <col min="1" max="1" width="42.140625" style="59" bestFit="1" customWidth="1"/>
    <col min="2" max="3" width="15.7109375" style="68" customWidth="1"/>
    <col min="4" max="4" width="17.42578125" style="68" bestFit="1" customWidth="1"/>
    <col min="5" max="5" width="15.7109375" style="68" customWidth="1"/>
    <col min="6" max="6" width="15.7109375" style="68" hidden="1" customWidth="1"/>
    <col min="7" max="7" width="15.7109375" style="60" customWidth="1"/>
    <col min="8" max="8" width="15.7109375" customWidth="1"/>
    <col min="9" max="9" width="10" bestFit="1" customWidth="1"/>
    <col min="11" max="11" width="11" customWidth="1"/>
  </cols>
  <sheetData>
    <row r="1" spans="1:7">
      <c r="A1" s="248" t="s">
        <v>34</v>
      </c>
      <c r="B1" s="248"/>
      <c r="C1" s="248"/>
      <c r="D1" s="248"/>
      <c r="E1" s="248"/>
      <c r="F1" s="248"/>
      <c r="G1" s="248"/>
    </row>
    <row r="2" spans="1:7">
      <c r="A2" s="248" t="s">
        <v>12</v>
      </c>
      <c r="B2" s="248"/>
      <c r="C2" s="248"/>
      <c r="D2" s="248"/>
      <c r="E2" s="248"/>
      <c r="F2" s="248"/>
      <c r="G2" s="248"/>
    </row>
    <row r="3" spans="1:7" s="32" customFormat="1" ht="12.75">
      <c r="A3" s="61" t="s">
        <v>6</v>
      </c>
      <c r="B3" s="62" t="s">
        <v>6</v>
      </c>
      <c r="C3" s="62" t="s">
        <v>6</v>
      </c>
      <c r="D3" s="62"/>
      <c r="E3" s="62" t="s">
        <v>6</v>
      </c>
      <c r="F3" s="62" t="s">
        <v>6</v>
      </c>
      <c r="G3" s="60"/>
    </row>
    <row r="4" spans="1:7">
      <c r="A4" s="61"/>
      <c r="B4" s="63">
        <v>2018</v>
      </c>
      <c r="C4" s="63">
        <v>2019</v>
      </c>
      <c r="D4" s="63">
        <v>2019</v>
      </c>
      <c r="E4" s="51">
        <v>2019</v>
      </c>
      <c r="F4" s="51">
        <v>2019</v>
      </c>
      <c r="G4" s="64" t="s">
        <v>839</v>
      </c>
    </row>
    <row r="5" spans="1:7">
      <c r="A5" s="65" t="s">
        <v>864</v>
      </c>
      <c r="B5" s="66" t="s">
        <v>823</v>
      </c>
      <c r="C5" s="66" t="s">
        <v>862</v>
      </c>
      <c r="D5" s="66" t="s">
        <v>863</v>
      </c>
      <c r="E5" s="66" t="s">
        <v>1147</v>
      </c>
      <c r="F5" s="66" t="s">
        <v>909</v>
      </c>
      <c r="G5" s="67" t="s">
        <v>826</v>
      </c>
    </row>
    <row r="6" spans="1:7">
      <c r="A6" s="61" t="s">
        <v>865</v>
      </c>
      <c r="B6" s="62"/>
      <c r="C6" s="62"/>
      <c r="D6" s="62"/>
      <c r="E6" s="62"/>
      <c r="F6" s="62"/>
    </row>
    <row r="7" spans="1:7">
      <c r="A7" s="61"/>
      <c r="B7" s="62"/>
      <c r="C7" s="62"/>
      <c r="D7" s="62"/>
      <c r="E7" s="62"/>
      <c r="F7" s="62"/>
    </row>
    <row r="8" spans="1:7">
      <c r="A8" s="61" t="s">
        <v>831</v>
      </c>
    </row>
    <row r="9" spans="1:7">
      <c r="A9" s="91" t="s">
        <v>36</v>
      </c>
      <c r="B9" s="69">
        <v>271215.64</v>
      </c>
      <c r="C9" s="11">
        <f>'Worksheet - General Fund (010)'!F9</f>
        <v>275489</v>
      </c>
      <c r="D9" s="11">
        <f>'Worksheet - General Fund (010)'!G9</f>
        <v>0</v>
      </c>
      <c r="E9" s="11">
        <f>'Worksheet - General Fund (010)'!H9</f>
        <v>274828.05</v>
      </c>
      <c r="F9" s="11">
        <f>'Worksheet - General Fund (010)'!I9</f>
        <v>275489</v>
      </c>
      <c r="G9" s="11">
        <f>'Worksheet - General Fund (010)'!J9</f>
        <v>275000</v>
      </c>
    </row>
    <row r="10" spans="1:7">
      <c r="A10" s="92" t="s">
        <v>39</v>
      </c>
      <c r="B10" s="69">
        <v>56210.95</v>
      </c>
      <c r="C10" s="11">
        <f>'Worksheet - General Fund (010)'!F10</f>
        <v>55000</v>
      </c>
      <c r="D10" s="11">
        <f>'Worksheet - General Fund (010)'!G10</f>
        <v>0</v>
      </c>
      <c r="E10" s="11">
        <f>'Worksheet - General Fund (010)'!H10</f>
        <v>62946.720000000001</v>
      </c>
      <c r="F10" s="11">
        <f>'Worksheet - General Fund (010)'!I10</f>
        <v>68669.149090909094</v>
      </c>
      <c r="G10" s="11">
        <f>'Worksheet - General Fund (010)'!J10</f>
        <v>60000</v>
      </c>
    </row>
    <row r="11" spans="1:7">
      <c r="A11" s="91" t="s">
        <v>32</v>
      </c>
      <c r="B11" s="69">
        <v>839715.91</v>
      </c>
      <c r="C11" s="11">
        <f>'Worksheet - General Fund (010)'!F11</f>
        <v>800000</v>
      </c>
      <c r="D11" s="11">
        <f>'Worksheet - General Fund (010)'!G11</f>
        <v>0</v>
      </c>
      <c r="E11" s="11">
        <f>'Worksheet - General Fund (010)'!H11</f>
        <v>921219.66</v>
      </c>
      <c r="F11" s="11">
        <f>'Worksheet - General Fund (010)'!I11</f>
        <v>1004966.9018181819</v>
      </c>
      <c r="G11" s="11">
        <f>'Worksheet - General Fund (010)'!J11</f>
        <v>900000</v>
      </c>
    </row>
    <row r="12" spans="1:7">
      <c r="A12" s="91" t="s">
        <v>42</v>
      </c>
      <c r="B12" s="69">
        <v>4725</v>
      </c>
      <c r="C12" s="11">
        <f>'Worksheet - General Fund (010)'!F12</f>
        <v>6000</v>
      </c>
      <c r="D12" s="11">
        <f>'Worksheet - General Fund (010)'!G12</f>
        <v>0</v>
      </c>
      <c r="E12" s="11">
        <f>'Worksheet - General Fund (010)'!H12</f>
        <v>5569</v>
      </c>
      <c r="F12" s="11">
        <f>'Worksheet - General Fund (010)'!I12</f>
        <v>6075.272727272727</v>
      </c>
      <c r="G12" s="11">
        <f>'Worksheet - General Fund (010)'!J12</f>
        <v>5500</v>
      </c>
    </row>
    <row r="13" spans="1:7">
      <c r="A13" s="92" t="s">
        <v>44</v>
      </c>
      <c r="B13" s="70">
        <v>2000</v>
      </c>
      <c r="C13" s="11">
        <f>'Worksheet - General Fund (010)'!F13</f>
        <v>1800</v>
      </c>
      <c r="D13" s="11">
        <f>'Worksheet - General Fund (010)'!G13</f>
        <v>0</v>
      </c>
      <c r="E13" s="11">
        <f>'Worksheet - General Fund (010)'!H13</f>
        <v>3000</v>
      </c>
      <c r="F13" s="11">
        <f>'Worksheet - General Fund (010)'!I13</f>
        <v>3272.727272727273</v>
      </c>
      <c r="G13" s="11">
        <f>'Worksheet - General Fund (010)'!J13</f>
        <v>1800</v>
      </c>
    </row>
    <row r="14" spans="1:7">
      <c r="A14" s="92" t="s">
        <v>785</v>
      </c>
      <c r="B14" s="70">
        <v>38565.01</v>
      </c>
      <c r="C14" s="11">
        <f>'Worksheet - General Fund (010)'!F14</f>
        <v>50000</v>
      </c>
      <c r="D14" s="11">
        <f>'Worksheet - General Fund (010)'!G14</f>
        <v>0</v>
      </c>
      <c r="E14" s="11">
        <f>'Worksheet - General Fund (010)'!H14</f>
        <v>168854.85</v>
      </c>
      <c r="F14" s="11">
        <f>'Worksheet - General Fund (010)'!I14</f>
        <v>184205.29090909092</v>
      </c>
      <c r="G14" s="11">
        <f>'Worksheet - General Fund (010)'!J14</f>
        <v>150000</v>
      </c>
    </row>
    <row r="15" spans="1:7" s="32" customFormat="1" ht="12.75">
      <c r="A15" s="92" t="s">
        <v>46</v>
      </c>
      <c r="B15" s="69">
        <v>2114.4</v>
      </c>
      <c r="C15" s="11">
        <f>'Worksheet - General Fund (010)'!F15</f>
        <v>1000</v>
      </c>
      <c r="D15" s="11">
        <f>'Worksheet - General Fund (010)'!G15</f>
        <v>0</v>
      </c>
      <c r="E15" s="11">
        <f>'Worksheet - General Fund (010)'!H15</f>
        <v>2950.53</v>
      </c>
      <c r="F15" s="11">
        <f>'Worksheet - General Fund (010)'!I15</f>
        <v>3218.76</v>
      </c>
      <c r="G15" s="11">
        <f>'Worksheet - General Fund (010)'!J15</f>
        <v>1500</v>
      </c>
    </row>
    <row r="16" spans="1:7">
      <c r="A16" s="92" t="s">
        <v>48</v>
      </c>
      <c r="B16" s="69">
        <v>12720</v>
      </c>
      <c r="C16" s="11">
        <f>'Worksheet - General Fund (010)'!F16</f>
        <v>12720</v>
      </c>
      <c r="D16" s="11">
        <f>'Worksheet - General Fund (010)'!G16</f>
        <v>0</v>
      </c>
      <c r="E16" s="11">
        <f>'Worksheet - General Fund (010)'!H16</f>
        <v>12720</v>
      </c>
      <c r="F16" s="11">
        <f>'Worksheet - General Fund (010)'!I16</f>
        <v>13876.363636363636</v>
      </c>
      <c r="G16" s="11">
        <f>'Worksheet - General Fund (010)'!J16</f>
        <v>12720</v>
      </c>
    </row>
    <row r="17" spans="1:7">
      <c r="A17" s="92" t="s">
        <v>50</v>
      </c>
      <c r="B17" s="69">
        <v>3240</v>
      </c>
      <c r="C17" s="11">
        <f>'Worksheet - General Fund (010)'!F17</f>
        <v>3240</v>
      </c>
      <c r="D17" s="11">
        <f>'Worksheet - General Fund (010)'!G17</f>
        <v>0</v>
      </c>
      <c r="E17" s="11">
        <f>'Worksheet - General Fund (010)'!H17</f>
        <v>3240</v>
      </c>
      <c r="F17" s="11">
        <f>'Worksheet - General Fund (010)'!I17</f>
        <v>3534.545454545455</v>
      </c>
      <c r="G17" s="11">
        <f>'Worksheet - General Fund (010)'!J17</f>
        <v>3240</v>
      </c>
    </row>
    <row r="18" spans="1:7">
      <c r="A18" s="91" t="s">
        <v>52</v>
      </c>
      <c r="B18" s="69">
        <v>13773.93</v>
      </c>
      <c r="C18" s="11">
        <f>'Worksheet - General Fund (010)'!F18</f>
        <v>11000</v>
      </c>
      <c r="D18" s="11">
        <f>'Worksheet - General Fund (010)'!G18</f>
        <v>0</v>
      </c>
      <c r="E18" s="11">
        <f>'Worksheet - General Fund (010)'!H18</f>
        <v>13988.73</v>
      </c>
      <c r="F18" s="11">
        <f>'Worksheet - General Fund (010)'!I18</f>
        <v>15260.432727272728</v>
      </c>
      <c r="G18" s="11">
        <f>'Worksheet - General Fund (010)'!J18</f>
        <v>12000</v>
      </c>
    </row>
    <row r="19" spans="1:7">
      <c r="A19" s="92" t="s">
        <v>54</v>
      </c>
      <c r="B19" s="69">
        <v>153490.04999999999</v>
      </c>
      <c r="C19" s="11">
        <f>'Worksheet - General Fund (010)'!F19</f>
        <v>127080</v>
      </c>
      <c r="D19" s="11">
        <f>'Worksheet - General Fund (010)'!G19</f>
        <v>0</v>
      </c>
      <c r="E19" s="11">
        <f>'Worksheet - General Fund (010)'!H19</f>
        <v>146322.5</v>
      </c>
      <c r="F19" s="11">
        <f>'Worksheet - General Fund (010)'!I19</f>
        <v>159624.54545454544</v>
      </c>
      <c r="G19" s="11">
        <f>'Worksheet - General Fund (010)'!J19</f>
        <v>130000</v>
      </c>
    </row>
    <row r="20" spans="1:7">
      <c r="A20" s="91" t="s">
        <v>56</v>
      </c>
      <c r="B20" s="69">
        <v>2572.15</v>
      </c>
      <c r="C20" s="11">
        <f>'Worksheet - General Fund (010)'!F20</f>
        <v>2300</v>
      </c>
      <c r="D20" s="11">
        <f>'Worksheet - General Fund (010)'!G20</f>
        <v>0</v>
      </c>
      <c r="E20" s="11">
        <f>'Worksheet - General Fund (010)'!H20</f>
        <v>2227.5500000000002</v>
      </c>
      <c r="F20" s="11">
        <f>'Worksheet - General Fund (010)'!I20</f>
        <v>2430.0545454545459</v>
      </c>
      <c r="G20" s="11">
        <f>'Worksheet - General Fund (010)'!J20</f>
        <v>1800</v>
      </c>
    </row>
    <row r="21" spans="1:7">
      <c r="A21" s="92" t="s">
        <v>58</v>
      </c>
      <c r="B21" s="69">
        <v>25319</v>
      </c>
      <c r="C21" s="11">
        <f>'Worksheet - General Fund (010)'!F21</f>
        <v>25237</v>
      </c>
      <c r="D21" s="11">
        <f>'Worksheet - General Fund (010)'!G21</f>
        <v>0</v>
      </c>
      <c r="E21" s="11">
        <f>'Worksheet - General Fund (010)'!H21</f>
        <v>19209.75</v>
      </c>
      <c r="F21" s="11">
        <f>'Worksheet - General Fund (010)'!I21</f>
        <v>25237</v>
      </c>
      <c r="G21" s="11">
        <f>'Worksheet - General Fund (010)'!J21</f>
        <v>25237</v>
      </c>
    </row>
    <row r="22" spans="1:7" s="32" customFormat="1" ht="13.5" thickBot="1">
      <c r="A22" s="58" t="s">
        <v>1019</v>
      </c>
      <c r="B22" s="72">
        <f t="shared" ref="B22:F22" si="0">SUM(B9:B21)</f>
        <v>1425662.0399999998</v>
      </c>
      <c r="C22" s="72">
        <f t="shared" si="0"/>
        <v>1370866</v>
      </c>
      <c r="D22" s="72">
        <f t="shared" si="0"/>
        <v>0</v>
      </c>
      <c r="E22" s="72">
        <f t="shared" si="0"/>
        <v>1637077.3400000003</v>
      </c>
      <c r="F22" s="72">
        <f t="shared" si="0"/>
        <v>1765860.0436363635</v>
      </c>
      <c r="G22" s="73">
        <f>SUM(G9:G21)</f>
        <v>1578797</v>
      </c>
    </row>
    <row r="23" spans="1:7" ht="15.75" thickTop="1">
      <c r="B23" s="69" t="s">
        <v>6</v>
      </c>
      <c r="C23" s="69"/>
      <c r="D23" s="69"/>
      <c r="E23" s="69"/>
      <c r="F23" s="69"/>
    </row>
    <row r="24" spans="1:7">
      <c r="A24" s="61" t="s">
        <v>59</v>
      </c>
      <c r="B24" s="69" t="s">
        <v>6</v>
      </c>
    </row>
    <row r="25" spans="1:7">
      <c r="A25" s="93" t="s">
        <v>15</v>
      </c>
      <c r="B25" s="69">
        <v>160555.72</v>
      </c>
      <c r="C25" s="69">
        <f>'Worksheet - General Fund (010)'!F26</f>
        <v>165000</v>
      </c>
      <c r="D25" s="69">
        <f>'Worksheet - General Fund (010)'!G26</f>
        <v>0</v>
      </c>
      <c r="E25" s="69">
        <f>'Worksheet - General Fund (010)'!H26</f>
        <v>158026.18</v>
      </c>
      <c r="F25" s="69">
        <f>'Worksheet - General Fund (010)'!I26</f>
        <v>165000</v>
      </c>
      <c r="G25" s="69">
        <f>'Worksheet - General Fund (010)'!J26</f>
        <v>165000</v>
      </c>
    </row>
    <row r="26" spans="1:7" ht="15.75" thickBot="1">
      <c r="A26" s="61" t="s">
        <v>1020</v>
      </c>
      <c r="B26" s="72">
        <f>SUM(B25)</f>
        <v>160555.72</v>
      </c>
      <c r="C26" s="72">
        <f t="shared" ref="C26:F26" si="1">SUM(C25)</f>
        <v>165000</v>
      </c>
      <c r="D26" s="72">
        <f t="shared" si="1"/>
        <v>0</v>
      </c>
      <c r="E26" s="72">
        <f t="shared" si="1"/>
        <v>158026.18</v>
      </c>
      <c r="F26" s="72">
        <f t="shared" si="1"/>
        <v>165000</v>
      </c>
      <c r="G26" s="74">
        <f>SUM(G25)</f>
        <v>165000</v>
      </c>
    </row>
    <row r="27" spans="1:7" ht="15.75" thickTop="1">
      <c r="B27" s="75"/>
      <c r="C27" s="69"/>
      <c r="D27" s="69"/>
      <c r="E27" s="69"/>
      <c r="F27" s="69"/>
      <c r="G27" s="76"/>
    </row>
    <row r="28" spans="1:7">
      <c r="A28" s="61" t="s">
        <v>61</v>
      </c>
      <c r="B28" s="69"/>
      <c r="C28" s="69"/>
      <c r="D28" s="69"/>
      <c r="E28" s="69"/>
      <c r="F28" s="69"/>
      <c r="G28" s="76"/>
    </row>
    <row r="29" spans="1:7">
      <c r="A29" s="93" t="s">
        <v>62</v>
      </c>
      <c r="B29" s="69">
        <v>1965</v>
      </c>
      <c r="C29" s="69">
        <f>'Worksheet - General Fund (010)'!F31</f>
        <v>2000</v>
      </c>
      <c r="D29" s="69">
        <f>'Worksheet - General Fund (010)'!G31</f>
        <v>0</v>
      </c>
      <c r="E29" s="69">
        <f>'Worksheet - General Fund (010)'!H31</f>
        <v>1925</v>
      </c>
      <c r="F29" s="69">
        <f>'Worksheet - General Fund (010)'!I31</f>
        <v>2100</v>
      </c>
      <c r="G29" s="48">
        <f>'Worksheet - General Fund (010)'!J31</f>
        <v>1500</v>
      </c>
    </row>
    <row r="30" spans="1:7">
      <c r="A30" s="93" t="s">
        <v>63</v>
      </c>
      <c r="B30" s="69">
        <v>1945</v>
      </c>
      <c r="C30" s="69">
        <f>'Worksheet - General Fund (010)'!F32</f>
        <v>2000</v>
      </c>
      <c r="D30" s="69">
        <f>'Worksheet - General Fund (010)'!G32</f>
        <v>0</v>
      </c>
      <c r="E30" s="69">
        <f>'Worksheet - General Fund (010)'!H32</f>
        <v>840</v>
      </c>
      <c r="F30" s="69">
        <f>'Worksheet - General Fund (010)'!I32</f>
        <v>916.36363636363626</v>
      </c>
      <c r="G30" s="48">
        <f>'Worksheet - General Fund (010)'!J32</f>
        <v>750</v>
      </c>
    </row>
    <row r="31" spans="1:7">
      <c r="A31" s="93" t="s">
        <v>64</v>
      </c>
      <c r="B31" s="69">
        <v>1650</v>
      </c>
      <c r="C31" s="69">
        <f>'Worksheet - General Fund (010)'!F33</f>
        <v>900</v>
      </c>
      <c r="D31" s="69">
        <f>'Worksheet - General Fund (010)'!G33</f>
        <v>0</v>
      </c>
      <c r="E31" s="69">
        <f>'Worksheet - General Fund (010)'!H33</f>
        <v>1350</v>
      </c>
      <c r="F31" s="69">
        <f>'Worksheet - General Fund (010)'!I33</f>
        <v>1472.7272727272727</v>
      </c>
      <c r="G31" s="48">
        <f>'Worksheet - General Fund (010)'!J33</f>
        <v>150</v>
      </c>
    </row>
    <row r="32" spans="1:7">
      <c r="A32" s="93" t="s">
        <v>65</v>
      </c>
      <c r="B32" s="69">
        <v>11250</v>
      </c>
      <c r="C32" s="69">
        <f>'Worksheet - General Fund (010)'!F34</f>
        <v>11250</v>
      </c>
      <c r="D32" s="69">
        <f>'Worksheet - General Fund (010)'!G34</f>
        <v>0</v>
      </c>
      <c r="E32" s="69">
        <f>'Worksheet - General Fund (010)'!H34</f>
        <v>15000</v>
      </c>
      <c r="F32" s="69">
        <f>'Worksheet - General Fund (010)'!I34</f>
        <v>12500</v>
      </c>
      <c r="G32" s="48">
        <f>'Worksheet - General Fund (010)'!J34</f>
        <v>12500</v>
      </c>
    </row>
    <row r="33" spans="1:7" s="32" customFormat="1" ht="12.75">
      <c r="A33" s="93" t="s">
        <v>66</v>
      </c>
      <c r="B33" s="69">
        <v>7500</v>
      </c>
      <c r="C33" s="69">
        <f>'Worksheet - General Fund (010)'!F35</f>
        <v>7500</v>
      </c>
      <c r="D33" s="69">
        <f>'Worksheet - General Fund (010)'!G35</f>
        <v>0</v>
      </c>
      <c r="E33" s="69">
        <f>'Worksheet - General Fund (010)'!H35</f>
        <v>15000</v>
      </c>
      <c r="F33" s="69">
        <f>'Worksheet - General Fund (010)'!I35</f>
        <v>12500</v>
      </c>
      <c r="G33" s="48">
        <f>'Worksheet - General Fund (010)'!J35</f>
        <v>12500</v>
      </c>
    </row>
    <row r="34" spans="1:7">
      <c r="A34" s="93" t="s">
        <v>67</v>
      </c>
      <c r="B34" s="69">
        <v>150</v>
      </c>
      <c r="C34" s="69">
        <f>'Worksheet - General Fund (010)'!F36</f>
        <v>100</v>
      </c>
      <c r="D34" s="69">
        <f>'Worksheet - General Fund (010)'!G36</f>
        <v>0</v>
      </c>
      <c r="E34" s="69">
        <f>'Worksheet - General Fund (010)'!H36</f>
        <v>100</v>
      </c>
      <c r="F34" s="69">
        <f>'Worksheet - General Fund (010)'!I36</f>
        <v>100</v>
      </c>
      <c r="G34" s="48">
        <f>'Worksheet - General Fund (010)'!J36</f>
        <v>100</v>
      </c>
    </row>
    <row r="35" spans="1:7">
      <c r="A35" s="93" t="s">
        <v>68</v>
      </c>
      <c r="B35" s="69">
        <v>365</v>
      </c>
      <c r="C35" s="69">
        <f>'Worksheet - General Fund (010)'!F37</f>
        <v>450</v>
      </c>
      <c r="D35" s="69">
        <f>'Worksheet - General Fund (010)'!G37</f>
        <v>0</v>
      </c>
      <c r="E35" s="69">
        <f>'Worksheet - General Fund (010)'!H37</f>
        <v>485</v>
      </c>
      <c r="F35" s="69">
        <f>'Worksheet - General Fund (010)'!I37</f>
        <v>485</v>
      </c>
      <c r="G35" s="48">
        <f>'Worksheet - General Fund (010)'!J37</f>
        <v>500</v>
      </c>
    </row>
    <row r="36" spans="1:7">
      <c r="A36" s="93" t="s">
        <v>69</v>
      </c>
      <c r="B36" s="69">
        <v>0</v>
      </c>
      <c r="C36" s="69">
        <f>'Worksheet - General Fund (010)'!F38</f>
        <v>50</v>
      </c>
      <c r="D36" s="69">
        <f>'Worksheet - General Fund (010)'!G38</f>
        <v>0</v>
      </c>
      <c r="E36" s="69">
        <f>'Worksheet - General Fund (010)'!H38</f>
        <v>50</v>
      </c>
      <c r="F36" s="69">
        <f>'Worksheet - General Fund (010)'!I38</f>
        <v>50</v>
      </c>
      <c r="G36" s="48">
        <f>'Worksheet - General Fund (010)'!J38</f>
        <v>50</v>
      </c>
    </row>
    <row r="37" spans="1:7">
      <c r="A37" s="93" t="s">
        <v>70</v>
      </c>
      <c r="B37" s="69">
        <v>2920</v>
      </c>
      <c r="C37" s="69">
        <f>'Worksheet - General Fund (010)'!F39</f>
        <v>2000</v>
      </c>
      <c r="D37" s="69">
        <f>'Worksheet - General Fund (010)'!G39</f>
        <v>0</v>
      </c>
      <c r="E37" s="69">
        <f>'Worksheet - General Fund (010)'!H39</f>
        <v>2085</v>
      </c>
      <c r="F37" s="69">
        <f>'Worksheet - General Fund (010)'!I39</f>
        <v>2274.5454545454545</v>
      </c>
      <c r="G37" s="48">
        <f>'Worksheet - General Fund (010)'!J39</f>
        <v>2000</v>
      </c>
    </row>
    <row r="38" spans="1:7">
      <c r="A38" s="93" t="s">
        <v>71</v>
      </c>
      <c r="B38" s="69">
        <v>1550</v>
      </c>
      <c r="C38" s="69">
        <f>'Worksheet - General Fund (010)'!F40</f>
        <v>2000</v>
      </c>
      <c r="D38" s="69">
        <f>'Worksheet - General Fund (010)'!G40</f>
        <v>0</v>
      </c>
      <c r="E38" s="69">
        <f>'Worksheet - General Fund (010)'!H40</f>
        <v>1150</v>
      </c>
      <c r="F38" s="69">
        <f>'Worksheet - General Fund (010)'!I40</f>
        <v>1254.5454545454545</v>
      </c>
      <c r="G38" s="48">
        <f>'Worksheet - General Fund (010)'!J40</f>
        <v>1000</v>
      </c>
    </row>
    <row r="39" spans="1:7">
      <c r="A39" s="93" t="s">
        <v>72</v>
      </c>
      <c r="B39" s="69">
        <v>200</v>
      </c>
      <c r="C39" s="69">
        <f>'Worksheet - General Fund (010)'!F41</f>
        <v>500</v>
      </c>
      <c r="D39" s="69">
        <f>'Worksheet - General Fund (010)'!G41</f>
        <v>0</v>
      </c>
      <c r="E39" s="69">
        <f>'Worksheet - General Fund (010)'!H41</f>
        <v>375</v>
      </c>
      <c r="F39" s="69">
        <f>'Worksheet - General Fund (010)'!I41</f>
        <v>409.09090909090912</v>
      </c>
      <c r="G39" s="48">
        <f>'Worksheet - General Fund (010)'!J41</f>
        <v>400</v>
      </c>
    </row>
    <row r="40" spans="1:7" s="32" customFormat="1" ht="13.5" thickBot="1">
      <c r="A40" s="61" t="s">
        <v>1021</v>
      </c>
      <c r="B40" s="72">
        <f>SUM(B29:B39)</f>
        <v>29495</v>
      </c>
      <c r="C40" s="72">
        <f t="shared" ref="C40:F40" si="2">SUM(C29:C39)</f>
        <v>28750</v>
      </c>
      <c r="D40" s="72">
        <f t="shared" si="2"/>
        <v>0</v>
      </c>
      <c r="E40" s="72">
        <f t="shared" si="2"/>
        <v>38360</v>
      </c>
      <c r="F40" s="72">
        <f t="shared" si="2"/>
        <v>34062.272727272728</v>
      </c>
      <c r="G40" s="74">
        <f>SUM(G29:G39)</f>
        <v>31450</v>
      </c>
    </row>
    <row r="41" spans="1:7" ht="15.75" thickTop="1">
      <c r="A41" s="61"/>
      <c r="B41" s="75"/>
      <c r="C41" s="75"/>
      <c r="D41" s="75"/>
      <c r="E41" s="75"/>
      <c r="F41" s="75"/>
      <c r="G41" s="76"/>
    </row>
    <row r="42" spans="1:7">
      <c r="A42" s="61" t="s">
        <v>84</v>
      </c>
      <c r="B42" s="69"/>
      <c r="C42" s="69"/>
      <c r="D42" s="69"/>
      <c r="E42" s="69"/>
      <c r="F42" s="69"/>
      <c r="G42" s="76"/>
    </row>
    <row r="43" spans="1:7">
      <c r="A43" s="93" t="s">
        <v>85</v>
      </c>
      <c r="B43" s="69">
        <v>1500</v>
      </c>
      <c r="C43" s="69">
        <f>'Worksheet - General Fund (010)'!F46</f>
        <v>6000</v>
      </c>
      <c r="D43" s="69">
        <f>'Worksheet - General Fund (010)'!G46</f>
        <v>0</v>
      </c>
      <c r="E43" s="77">
        <f>'Worksheet - General Fund (010)'!H46</f>
        <v>0</v>
      </c>
      <c r="F43" s="77">
        <f>'Worksheet - General Fund (010)'!I46</f>
        <v>6000</v>
      </c>
      <c r="G43" s="48">
        <f>'Worksheet - General Fund (010)'!J46</f>
        <v>8000</v>
      </c>
    </row>
    <row r="44" spans="1:7">
      <c r="A44" s="93" t="s">
        <v>87</v>
      </c>
      <c r="B44" s="69">
        <v>19712.25</v>
      </c>
      <c r="C44" s="69">
        <f>'Worksheet - General Fund (010)'!F47</f>
        <v>40000</v>
      </c>
      <c r="D44" s="69">
        <f>'Worksheet - General Fund (010)'!G47</f>
        <v>0</v>
      </c>
      <c r="E44" s="77">
        <f>'Worksheet - General Fund (010)'!H47</f>
        <v>21440.5</v>
      </c>
      <c r="F44" s="77">
        <f>'Worksheet - General Fund (010)'!I47</f>
        <v>23389.636363636364</v>
      </c>
      <c r="G44" s="48">
        <f>'Worksheet - General Fund (010)'!J47</f>
        <v>28500</v>
      </c>
    </row>
    <row r="45" spans="1:7">
      <c r="A45" s="93" t="s">
        <v>86</v>
      </c>
      <c r="B45" s="69">
        <v>14.25</v>
      </c>
      <c r="C45" s="69">
        <f>'Worksheet - General Fund (010)'!F48</f>
        <v>100</v>
      </c>
      <c r="D45" s="69">
        <f>'Worksheet - General Fund (010)'!G48</f>
        <v>0</v>
      </c>
      <c r="E45" s="77">
        <f>'Worksheet - General Fund (010)'!H48</f>
        <v>0</v>
      </c>
      <c r="F45" s="77">
        <f>'Worksheet - General Fund (010)'!I48</f>
        <v>0</v>
      </c>
      <c r="G45" s="48">
        <f>'Worksheet - General Fund (010)'!J48</f>
        <v>0</v>
      </c>
    </row>
    <row r="46" spans="1:7">
      <c r="A46" s="93" t="s">
        <v>88</v>
      </c>
      <c r="B46" s="69">
        <v>36798.35</v>
      </c>
      <c r="C46" s="69">
        <f>'Worksheet - General Fund (010)'!F49</f>
        <v>36670</v>
      </c>
      <c r="D46" s="69">
        <f>'Worksheet - General Fund (010)'!G49</f>
        <v>0</v>
      </c>
      <c r="E46" s="77">
        <f>'Worksheet - General Fund (010)'!H49</f>
        <v>36712.44</v>
      </c>
      <c r="F46" s="77">
        <f>'Worksheet - General Fund (010)'!I49</f>
        <v>40049.934545454547</v>
      </c>
      <c r="G46" s="48">
        <f>'Worksheet - General Fund (010)'!J49</f>
        <v>36000</v>
      </c>
    </row>
    <row r="47" spans="1:7">
      <c r="A47" s="93" t="s">
        <v>89</v>
      </c>
      <c r="B47" s="69">
        <v>900</v>
      </c>
      <c r="C47" s="69">
        <f>'Worksheet - General Fund (010)'!F50</f>
        <v>1000</v>
      </c>
      <c r="D47" s="69">
        <f>'Worksheet - General Fund (010)'!G50</f>
        <v>0</v>
      </c>
      <c r="E47" s="77">
        <f>'Worksheet - General Fund (010)'!H50</f>
        <v>50</v>
      </c>
      <c r="F47" s="77">
        <f>'Worksheet - General Fund (010)'!I50</f>
        <v>54.545454545454547</v>
      </c>
      <c r="G47" s="48">
        <f>'Worksheet - General Fund (010)'!J50</f>
        <v>100</v>
      </c>
    </row>
    <row r="48" spans="1:7">
      <c r="A48" s="93" t="s">
        <v>90</v>
      </c>
      <c r="B48" s="69">
        <v>110.55</v>
      </c>
      <c r="C48" s="69">
        <f>'Worksheet - General Fund (010)'!F51</f>
        <v>50</v>
      </c>
      <c r="D48" s="69">
        <f>'Worksheet - General Fund (010)'!G51</f>
        <v>0</v>
      </c>
      <c r="E48" s="77">
        <f>'Worksheet - General Fund (010)'!H51</f>
        <v>84.75</v>
      </c>
      <c r="F48" s="77">
        <f>'Worksheet - General Fund (010)'!I51</f>
        <v>92.454545454545453</v>
      </c>
      <c r="G48" s="48">
        <f>'Worksheet - General Fund (010)'!J51</f>
        <v>100</v>
      </c>
    </row>
    <row r="49" spans="1:7">
      <c r="A49" s="93" t="s">
        <v>91</v>
      </c>
      <c r="B49" s="69">
        <v>59484.2</v>
      </c>
      <c r="C49" s="69">
        <f>'Worksheet - General Fund (010)'!F52</f>
        <v>200000</v>
      </c>
      <c r="D49" s="69">
        <f>'Worksheet - General Fund (010)'!G52</f>
        <v>0</v>
      </c>
      <c r="E49" s="77">
        <f>'Worksheet - General Fund (010)'!H52</f>
        <v>48149.9</v>
      </c>
      <c r="F49" s="77">
        <f>'Worksheet - General Fund (010)'!I52</f>
        <v>52527.163636363635</v>
      </c>
      <c r="G49" s="48">
        <f>'Worksheet - General Fund (010)'!J52</f>
        <v>65000</v>
      </c>
    </row>
    <row r="50" spans="1:7">
      <c r="A50" s="93" t="s">
        <v>92</v>
      </c>
      <c r="B50" s="69">
        <v>7162.19</v>
      </c>
      <c r="C50" s="69">
        <f>'Worksheet - General Fund (010)'!F53</f>
        <v>2000</v>
      </c>
      <c r="D50" s="69">
        <f>'Worksheet - General Fund (010)'!G53</f>
        <v>0</v>
      </c>
      <c r="E50" s="77">
        <f>'Worksheet - General Fund (010)'!H53</f>
        <v>34654.550000000003</v>
      </c>
      <c r="F50" s="77">
        <f>'Worksheet - General Fund (010)'!I53</f>
        <v>37804.963636363638</v>
      </c>
      <c r="G50" s="48">
        <f>'Worksheet - General Fund (010)'!J53</f>
        <v>2000</v>
      </c>
    </row>
    <row r="51" spans="1:7">
      <c r="A51" s="93" t="s">
        <v>93</v>
      </c>
      <c r="B51" s="69">
        <v>132461.60999999999</v>
      </c>
      <c r="C51" s="69">
        <f>'Worksheet - General Fund (010)'!F54</f>
        <v>0</v>
      </c>
      <c r="D51" s="69">
        <f>'Worksheet - General Fund (010)'!G54</f>
        <v>0</v>
      </c>
      <c r="E51" s="77">
        <f>'Worksheet - General Fund (010)'!H54</f>
        <v>93226.71</v>
      </c>
      <c r="F51" s="77">
        <f>'Worksheet - General Fund (010)'!I54</f>
        <v>101701.86545454545</v>
      </c>
      <c r="G51" s="48">
        <f>'Worksheet - General Fund (010)'!J54</f>
        <v>120000</v>
      </c>
    </row>
    <row r="52" spans="1:7">
      <c r="A52" s="93" t="s">
        <v>94</v>
      </c>
      <c r="B52" s="69">
        <v>20000</v>
      </c>
      <c r="C52" s="69">
        <f>'Worksheet - General Fund (010)'!F55</f>
        <v>5000</v>
      </c>
      <c r="D52" s="69">
        <f>'Worksheet - General Fund (010)'!G55</f>
        <v>0</v>
      </c>
      <c r="E52" s="77">
        <f>'Worksheet - General Fund (010)'!H55</f>
        <v>28000</v>
      </c>
      <c r="F52" s="77">
        <f>'Worksheet - General Fund (010)'!I55</f>
        <v>30545.454545454544</v>
      </c>
      <c r="G52" s="48">
        <f>'Worksheet - General Fund (010)'!J55</f>
        <v>5000</v>
      </c>
    </row>
    <row r="53" spans="1:7">
      <c r="A53" s="93" t="s">
        <v>95</v>
      </c>
      <c r="B53" s="69">
        <v>8325</v>
      </c>
      <c r="C53" s="69">
        <f>'Worksheet - General Fund (010)'!F56</f>
        <v>10000</v>
      </c>
      <c r="D53" s="69">
        <f>'Worksheet - General Fund (010)'!G56</f>
        <v>0</v>
      </c>
      <c r="E53" s="77">
        <f>'Worksheet - General Fund (010)'!H56</f>
        <v>8950</v>
      </c>
      <c r="F53" s="77">
        <f>'Worksheet - General Fund (010)'!I56</f>
        <v>9763.636363636364</v>
      </c>
      <c r="G53" s="48">
        <f>'Worksheet - General Fund (010)'!J56</f>
        <v>10000</v>
      </c>
    </row>
    <row r="54" spans="1:7">
      <c r="A54" s="93" t="s">
        <v>108</v>
      </c>
      <c r="B54" s="69">
        <v>125</v>
      </c>
      <c r="C54" s="69">
        <f>'Worksheet - General Fund (010)'!F57</f>
        <v>100</v>
      </c>
      <c r="D54" s="69">
        <f>'Worksheet - General Fund (010)'!G57</f>
        <v>0</v>
      </c>
      <c r="E54" s="77">
        <f>'Worksheet - General Fund (010)'!H57</f>
        <v>50</v>
      </c>
      <c r="F54" s="77">
        <f>'Worksheet - General Fund (010)'!I57</f>
        <v>54.545454545454547</v>
      </c>
      <c r="G54" s="48">
        <f>'Worksheet - General Fund (010)'!J57</f>
        <v>100</v>
      </c>
    </row>
    <row r="55" spans="1:7">
      <c r="A55" s="93" t="s">
        <v>110</v>
      </c>
      <c r="B55" s="69">
        <v>20550</v>
      </c>
      <c r="C55" s="69">
        <f>'Worksheet - General Fund (010)'!F58</f>
        <v>21000</v>
      </c>
      <c r="D55" s="69">
        <f>'Worksheet - General Fund (010)'!G58</f>
        <v>0</v>
      </c>
      <c r="E55" s="77">
        <f>'Worksheet - General Fund (010)'!H58</f>
        <v>19963</v>
      </c>
      <c r="F55" s="77">
        <f>'Worksheet - General Fund (010)'!I58</f>
        <v>19963</v>
      </c>
      <c r="G55" s="48">
        <f>'Worksheet - General Fund (010)'!J58</f>
        <v>20000</v>
      </c>
    </row>
    <row r="56" spans="1:7">
      <c r="A56" s="93" t="s">
        <v>112</v>
      </c>
      <c r="B56" s="69">
        <v>5314.39</v>
      </c>
      <c r="C56" s="69">
        <f>'Worksheet - General Fund (010)'!F59</f>
        <v>6000</v>
      </c>
      <c r="D56" s="69">
        <f>'Worksheet - General Fund (010)'!G59</f>
        <v>0</v>
      </c>
      <c r="E56" s="77">
        <f>'Worksheet - General Fund (010)'!H59</f>
        <v>6184.65</v>
      </c>
      <c r="F56" s="77">
        <f>'Worksheet - General Fund (010)'!I59</f>
        <v>6185</v>
      </c>
      <c r="G56" s="48">
        <f>'Worksheet - General Fund (010)'!J59</f>
        <v>6000</v>
      </c>
    </row>
    <row r="57" spans="1:7">
      <c r="A57" s="93" t="s">
        <v>114</v>
      </c>
      <c r="B57" s="69">
        <v>5830</v>
      </c>
      <c r="C57" s="69">
        <f>'Worksheet - General Fund (010)'!F60</f>
        <v>4500</v>
      </c>
      <c r="D57" s="69">
        <f>'Worksheet - General Fund (010)'!G60</f>
        <v>0</v>
      </c>
      <c r="E57" s="77">
        <f>'Worksheet - General Fund (010)'!H60</f>
        <v>4960</v>
      </c>
      <c r="F57" s="77">
        <f>'Worksheet - General Fund (010)'!I60</f>
        <v>4960</v>
      </c>
      <c r="G57" s="48">
        <f>'Worksheet - General Fund (010)'!J60</f>
        <v>5000</v>
      </c>
    </row>
    <row r="58" spans="1:7">
      <c r="A58" s="93" t="s">
        <v>116</v>
      </c>
      <c r="B58" s="69">
        <v>6915</v>
      </c>
      <c r="C58" s="69">
        <f>'Worksheet - General Fund (010)'!F61</f>
        <v>6500</v>
      </c>
      <c r="D58" s="69">
        <f>'Worksheet - General Fund (010)'!G61</f>
        <v>0</v>
      </c>
      <c r="E58" s="77">
        <f>'Worksheet - General Fund (010)'!H61</f>
        <v>6675</v>
      </c>
      <c r="F58" s="77">
        <f>'Worksheet - General Fund (010)'!I61</f>
        <v>6675</v>
      </c>
      <c r="G58" s="48">
        <f>'Worksheet - General Fund (010)'!J61</f>
        <v>7000</v>
      </c>
    </row>
    <row r="59" spans="1:7">
      <c r="A59" s="93" t="s">
        <v>743</v>
      </c>
      <c r="B59" s="69">
        <v>1750</v>
      </c>
      <c r="C59" s="69">
        <f>'Worksheet - General Fund (010)'!F62</f>
        <v>2000</v>
      </c>
      <c r="D59" s="69">
        <f>'Worksheet - General Fund (010)'!G62</f>
        <v>0</v>
      </c>
      <c r="E59" s="77">
        <f>'Worksheet - General Fund (010)'!H62</f>
        <v>900</v>
      </c>
      <c r="F59" s="77">
        <f>'Worksheet - General Fund (010)'!I62</f>
        <v>982</v>
      </c>
      <c r="G59" s="48">
        <f>'Worksheet - General Fund (010)'!J62</f>
        <v>900</v>
      </c>
    </row>
    <row r="60" spans="1:7">
      <c r="A60" s="93" t="s">
        <v>118</v>
      </c>
      <c r="B60" s="69">
        <v>3425.57</v>
      </c>
      <c r="C60" s="69">
        <f>'Worksheet - General Fund (010)'!F63</f>
        <v>2000</v>
      </c>
      <c r="D60" s="69">
        <f>'Worksheet - General Fund (010)'!G63</f>
        <v>0</v>
      </c>
      <c r="E60" s="77">
        <f>'Worksheet - General Fund (010)'!H63</f>
        <v>11504.48</v>
      </c>
      <c r="F60" s="77">
        <f>'Worksheet - General Fund (010)'!I63</f>
        <v>6504</v>
      </c>
      <c r="G60" s="48">
        <f>'Worksheet - General Fund (010)'!J63</f>
        <v>2000</v>
      </c>
    </row>
    <row r="61" spans="1:7">
      <c r="A61" s="93" t="s">
        <v>121</v>
      </c>
      <c r="B61" s="69">
        <v>700</v>
      </c>
      <c r="C61" s="69">
        <f>'Worksheet - General Fund (010)'!F64</f>
        <v>250</v>
      </c>
      <c r="D61" s="69">
        <f>'Worksheet - General Fund (010)'!G64</f>
        <v>0</v>
      </c>
      <c r="E61" s="77">
        <f>'Worksheet - General Fund (010)'!H64</f>
        <v>490</v>
      </c>
      <c r="F61" s="77">
        <f>'Worksheet - General Fund (010)'!I64</f>
        <v>490</v>
      </c>
      <c r="G61" s="48">
        <f>'Worksheet - General Fund (010)'!J64</f>
        <v>500</v>
      </c>
    </row>
    <row r="62" spans="1:7">
      <c r="A62" s="93" t="s">
        <v>122</v>
      </c>
      <c r="B62" s="69">
        <v>3380</v>
      </c>
      <c r="C62" s="69">
        <f>'Worksheet - General Fund (010)'!F65</f>
        <v>2500</v>
      </c>
      <c r="D62" s="69">
        <f>'Worksheet - General Fund (010)'!G65</f>
        <v>0</v>
      </c>
      <c r="E62" s="77">
        <f>'Worksheet - General Fund (010)'!H65</f>
        <v>3665</v>
      </c>
      <c r="F62" s="77">
        <f>'Worksheet - General Fund (010)'!I65</f>
        <v>1985</v>
      </c>
      <c r="G62" s="48">
        <f>'Worksheet - General Fund (010)'!J65</f>
        <v>2500</v>
      </c>
    </row>
    <row r="63" spans="1:7">
      <c r="A63" s="93" t="s">
        <v>124</v>
      </c>
      <c r="B63" s="69">
        <v>2685</v>
      </c>
      <c r="C63" s="69">
        <f>'Worksheet - General Fund (010)'!F66</f>
        <v>2685</v>
      </c>
      <c r="D63" s="69">
        <f>'Worksheet - General Fund (010)'!G66</f>
        <v>0</v>
      </c>
      <c r="E63" s="77">
        <f>'Worksheet - General Fund (010)'!H66</f>
        <v>1945</v>
      </c>
      <c r="F63" s="77">
        <f>'Worksheet - General Fund (010)'!I66</f>
        <v>1945</v>
      </c>
      <c r="G63" s="48">
        <f>'Worksheet - General Fund (010)'!J66</f>
        <v>2000</v>
      </c>
    </row>
    <row r="64" spans="1:7">
      <c r="A64" s="93" t="s">
        <v>126</v>
      </c>
      <c r="B64" s="69">
        <v>2120</v>
      </c>
      <c r="C64" s="69">
        <f>'Worksheet - General Fund (010)'!F67</f>
        <v>2500</v>
      </c>
      <c r="D64" s="69">
        <f>'Worksheet - General Fund (010)'!G67</f>
        <v>0</v>
      </c>
      <c r="E64" s="77">
        <f>'Worksheet - General Fund (010)'!H67</f>
        <v>2525</v>
      </c>
      <c r="F64" s="77">
        <f>'Worksheet - General Fund (010)'!I67</f>
        <v>2525</v>
      </c>
      <c r="G64" s="48">
        <f>'Worksheet - General Fund (010)'!J67</f>
        <v>2500</v>
      </c>
    </row>
    <row r="65" spans="1:7">
      <c r="A65" s="93" t="s">
        <v>128</v>
      </c>
      <c r="B65" s="69">
        <v>2106</v>
      </c>
      <c r="C65" s="69">
        <f>'Worksheet - General Fund (010)'!F68</f>
        <v>1000</v>
      </c>
      <c r="D65" s="69">
        <f>'Worksheet - General Fund (010)'!G68</f>
        <v>0</v>
      </c>
      <c r="E65" s="77">
        <f>'Worksheet - General Fund (010)'!H68</f>
        <v>1270</v>
      </c>
      <c r="F65" s="77">
        <f>'Worksheet - General Fund (010)'!I68</f>
        <v>1270</v>
      </c>
      <c r="G65" s="48">
        <f>'Worksheet - General Fund (010)'!J68</f>
        <v>1300</v>
      </c>
    </row>
    <row r="66" spans="1:7">
      <c r="A66" s="93" t="s">
        <v>130</v>
      </c>
      <c r="B66" s="69">
        <v>6340</v>
      </c>
      <c r="C66" s="69">
        <f>'Worksheet - General Fund (010)'!F69</f>
        <v>4000</v>
      </c>
      <c r="D66" s="69">
        <f>'Worksheet - General Fund (010)'!G69</f>
        <v>0</v>
      </c>
      <c r="E66" s="77">
        <f>'Worksheet - General Fund (010)'!H69</f>
        <v>6125</v>
      </c>
      <c r="F66" s="77">
        <f>'Worksheet - General Fund (010)'!I69</f>
        <v>6125</v>
      </c>
      <c r="G66" s="48">
        <f>'Worksheet - General Fund (010)'!J69</f>
        <v>5000</v>
      </c>
    </row>
    <row r="67" spans="1:7">
      <c r="A67" s="93" t="s">
        <v>132</v>
      </c>
      <c r="B67" s="69">
        <v>0</v>
      </c>
      <c r="C67" s="69">
        <f>'Worksheet - General Fund (010)'!F70</f>
        <v>1750</v>
      </c>
      <c r="D67" s="69">
        <f>'Worksheet - General Fund (010)'!G70</f>
        <v>0</v>
      </c>
      <c r="E67" s="77">
        <f>'Worksheet - General Fund (010)'!H70</f>
        <v>2222</v>
      </c>
      <c r="F67" s="77">
        <f>'Worksheet - General Fund (010)'!I70</f>
        <v>2424</v>
      </c>
      <c r="G67" s="48">
        <f>'Worksheet - General Fund (010)'!J70</f>
        <v>2000</v>
      </c>
    </row>
    <row r="68" spans="1:7">
      <c r="A68" s="93" t="s">
        <v>134</v>
      </c>
      <c r="B68" s="69">
        <v>682.49</v>
      </c>
      <c r="C68" s="69">
        <f>'Worksheet - General Fund (010)'!F71</f>
        <v>500</v>
      </c>
      <c r="D68" s="69">
        <f>'Worksheet - General Fund (010)'!G71</f>
        <v>0</v>
      </c>
      <c r="E68" s="77">
        <f>'Worksheet - General Fund (010)'!H71</f>
        <v>772.3</v>
      </c>
      <c r="F68" s="77">
        <f>'Worksheet - General Fund (010)'!I71</f>
        <v>842.5090909090909</v>
      </c>
      <c r="G68" s="48">
        <f>'Worksheet - General Fund (010)'!J71</f>
        <v>1000</v>
      </c>
    </row>
    <row r="69" spans="1:7" ht="15.75" thickBot="1">
      <c r="A69" s="71" t="s">
        <v>1022</v>
      </c>
      <c r="B69" s="72">
        <f t="shared" ref="B69:G69" si="3">SUM(B43:B68)</f>
        <v>348391.85000000003</v>
      </c>
      <c r="C69" s="72">
        <f t="shared" si="3"/>
        <v>358105</v>
      </c>
      <c r="D69" s="72">
        <f t="shared" si="3"/>
        <v>0</v>
      </c>
      <c r="E69" s="72">
        <f t="shared" si="3"/>
        <v>340520.28</v>
      </c>
      <c r="F69" s="72">
        <f t="shared" si="3"/>
        <v>364859.70909090911</v>
      </c>
      <c r="G69" s="73">
        <f t="shared" si="3"/>
        <v>332500</v>
      </c>
    </row>
    <row r="70" spans="1:7" ht="15.75" thickTop="1">
      <c r="A70" s="61"/>
      <c r="B70" s="75"/>
      <c r="C70" s="75"/>
      <c r="D70" s="75"/>
      <c r="E70" s="75"/>
      <c r="F70" s="75"/>
      <c r="G70" s="76"/>
    </row>
    <row r="71" spans="1:7">
      <c r="A71" s="61" t="s">
        <v>0</v>
      </c>
      <c r="B71" s="75"/>
      <c r="C71" s="69"/>
      <c r="D71" s="69"/>
      <c r="E71" s="69"/>
      <c r="F71" s="69"/>
      <c r="G71" s="76"/>
    </row>
    <row r="72" spans="1:7">
      <c r="A72" s="93" t="s">
        <v>135</v>
      </c>
      <c r="B72" s="70">
        <v>0</v>
      </c>
      <c r="C72" s="69">
        <f>'Worksheet - General Fund (010)'!F76</f>
        <v>17000</v>
      </c>
      <c r="D72" s="69">
        <f>'Worksheet - General Fund (010)'!G76</f>
        <v>0</v>
      </c>
      <c r="E72" s="77">
        <f>'Worksheet - General Fund (010)'!H76</f>
        <v>0</v>
      </c>
      <c r="F72" s="77">
        <f>'Worksheet - General Fund (010)'!I76</f>
        <v>0</v>
      </c>
      <c r="G72" s="78">
        <f>'Worksheet - General Fund (010)'!J76</f>
        <v>0</v>
      </c>
    </row>
    <row r="73" spans="1:7">
      <c r="A73" s="93" t="s">
        <v>136</v>
      </c>
      <c r="B73" s="70">
        <v>6496</v>
      </c>
      <c r="C73" s="69">
        <f>'Worksheet - General Fund (010)'!F77</f>
        <v>6500</v>
      </c>
      <c r="D73" s="69">
        <f>'Worksheet - General Fund (010)'!G77</f>
        <v>0</v>
      </c>
      <c r="E73" s="77">
        <f>'Worksheet - General Fund (010)'!H77</f>
        <v>6496</v>
      </c>
      <c r="F73" s="77">
        <f>'Worksheet - General Fund (010)'!I77</f>
        <v>6500</v>
      </c>
      <c r="G73" s="79">
        <f>'Worksheet - General Fund (010)'!J77</f>
        <v>6500</v>
      </c>
    </row>
    <row r="74" spans="1:7" ht="15.75" thickBot="1">
      <c r="A74" s="61" t="s">
        <v>1023</v>
      </c>
      <c r="B74" s="72">
        <f>SUM(B72:B73)</f>
        <v>6496</v>
      </c>
      <c r="C74" s="72">
        <f t="shared" ref="C74:F74" si="4">SUM(C72:C73)</f>
        <v>23500</v>
      </c>
      <c r="D74" s="72">
        <f t="shared" si="4"/>
        <v>0</v>
      </c>
      <c r="E74" s="72">
        <f t="shared" si="4"/>
        <v>6496</v>
      </c>
      <c r="F74" s="72">
        <f t="shared" si="4"/>
        <v>6500</v>
      </c>
      <c r="G74" s="80">
        <f>SUM(G72:G73)</f>
        <v>6500</v>
      </c>
    </row>
    <row r="75" spans="1:7" ht="15.75" thickTop="1">
      <c r="A75" s="61"/>
      <c r="B75" s="69"/>
      <c r="C75" s="75"/>
      <c r="D75" s="75"/>
      <c r="E75" s="75"/>
      <c r="F75" s="75"/>
      <c r="G75" s="76"/>
    </row>
    <row r="76" spans="1:7">
      <c r="A76" s="61" t="s">
        <v>140</v>
      </c>
      <c r="B76" s="69"/>
      <c r="C76" s="69"/>
      <c r="D76" s="69"/>
      <c r="E76" s="69"/>
      <c r="F76" s="69"/>
      <c r="G76" s="76"/>
    </row>
    <row r="77" spans="1:7">
      <c r="A77" s="93" t="s">
        <v>141</v>
      </c>
      <c r="B77" s="69">
        <v>19396.79</v>
      </c>
      <c r="C77" s="69">
        <f>'Worksheet - General Fund (010)'!F82</f>
        <v>25000</v>
      </c>
      <c r="D77" s="69">
        <f>'Worksheet - General Fund (010)'!G82</f>
        <v>0</v>
      </c>
      <c r="E77" s="77">
        <f>'Worksheet - General Fund (010)'!H82</f>
        <v>16199.01</v>
      </c>
      <c r="F77" s="77">
        <f>'Worksheet - General Fund (010)'!I82</f>
        <v>17671.647272727274</v>
      </c>
      <c r="G77" s="48">
        <f>'Worksheet - General Fund (010)'!J82</f>
        <v>15000</v>
      </c>
    </row>
    <row r="78" spans="1:7">
      <c r="A78" s="93" t="s">
        <v>142</v>
      </c>
      <c r="B78" s="69">
        <v>6965.25</v>
      </c>
      <c r="C78" s="69">
        <f>'Worksheet - General Fund (010)'!F83</f>
        <v>9300</v>
      </c>
      <c r="D78" s="69">
        <f>'Worksheet - General Fund (010)'!G83</f>
        <v>0</v>
      </c>
      <c r="E78" s="77">
        <f>'Worksheet - General Fund (010)'!H83</f>
        <v>5450.25</v>
      </c>
      <c r="F78" s="77">
        <f>'Worksheet - General Fund (010)'!I83</f>
        <v>5945.727272727273</v>
      </c>
      <c r="G78" s="48">
        <f>'Worksheet - General Fund (010)'!J83</f>
        <v>5000</v>
      </c>
    </row>
    <row r="79" spans="1:7">
      <c r="A79" s="93" t="s">
        <v>143</v>
      </c>
      <c r="B79" s="70">
        <v>4532.0200000000004</v>
      </c>
      <c r="C79" s="69">
        <f>'Worksheet - General Fund (010)'!F84</f>
        <v>10000</v>
      </c>
      <c r="D79" s="69">
        <f>'Worksheet - General Fund (010)'!G84</f>
        <v>0</v>
      </c>
      <c r="E79" s="77">
        <f>'Worksheet - General Fund (010)'!H84</f>
        <v>19108.09</v>
      </c>
      <c r="F79" s="77">
        <f>'Worksheet - General Fund (010)'!I84</f>
        <v>20845.189090909091</v>
      </c>
      <c r="G79" s="48">
        <f>'Worksheet - General Fund (010)'!J84</f>
        <v>10000</v>
      </c>
    </row>
    <row r="80" spans="1:7">
      <c r="A80" s="93" t="s">
        <v>144</v>
      </c>
      <c r="B80" s="69">
        <v>685.14</v>
      </c>
      <c r="C80" s="69">
        <f>'Worksheet - General Fund (010)'!F85</f>
        <v>1200</v>
      </c>
      <c r="D80" s="69">
        <f>'Worksheet - General Fund (010)'!G85</f>
        <v>0</v>
      </c>
      <c r="E80" s="77">
        <f>'Worksheet - General Fund (010)'!H85</f>
        <v>1259.67</v>
      </c>
      <c r="F80" s="77">
        <f>'Worksheet - General Fund (010)'!I85</f>
        <v>1374.1854545454546</v>
      </c>
      <c r="G80" s="48">
        <f>'Worksheet - General Fund (010)'!J85</f>
        <v>1200</v>
      </c>
    </row>
    <row r="81" spans="1:7" ht="15.75" thickBot="1">
      <c r="A81" s="61" t="s">
        <v>1024</v>
      </c>
      <c r="B81" s="72">
        <f>SUM(B77:B80)</f>
        <v>31579.200000000001</v>
      </c>
      <c r="C81" s="72">
        <f t="shared" ref="C81:F81" si="5">SUM(C77:C80)</f>
        <v>45500</v>
      </c>
      <c r="D81" s="72">
        <f t="shared" si="5"/>
        <v>0</v>
      </c>
      <c r="E81" s="72">
        <f t="shared" si="5"/>
        <v>42017.020000000004</v>
      </c>
      <c r="F81" s="72">
        <f t="shared" si="5"/>
        <v>45836.749090909092</v>
      </c>
      <c r="G81" s="73">
        <f>SUM(G77:G80)</f>
        <v>31200</v>
      </c>
    </row>
    <row r="82" spans="1:7" s="32" customFormat="1" ht="13.5" thickTop="1">
      <c r="A82" s="59"/>
      <c r="B82" s="69"/>
      <c r="C82" s="69"/>
      <c r="D82" s="69"/>
      <c r="E82" s="69"/>
      <c r="F82" s="69"/>
      <c r="G82" s="76"/>
    </row>
    <row r="83" spans="1:7">
      <c r="A83" s="61" t="s">
        <v>149</v>
      </c>
      <c r="B83" s="70"/>
      <c r="C83" s="69"/>
      <c r="D83" s="69"/>
      <c r="E83" s="69"/>
      <c r="F83" s="69"/>
      <c r="G83" s="76"/>
    </row>
    <row r="84" spans="1:7">
      <c r="A84" s="93" t="s">
        <v>150</v>
      </c>
      <c r="B84" s="69">
        <v>9600</v>
      </c>
      <c r="C84" s="69">
        <f>'Worksheet - General Fund (010)'!F90</f>
        <v>0</v>
      </c>
      <c r="D84" s="69">
        <f>'Worksheet - General Fund (010)'!G90</f>
        <v>0</v>
      </c>
      <c r="E84" s="69">
        <f>'Worksheet - General Fund (010)'!H90</f>
        <v>0</v>
      </c>
      <c r="F84" s="69">
        <f>'Worksheet - General Fund (010)'!I90</f>
        <v>0</v>
      </c>
      <c r="G84" s="48">
        <f>'Worksheet - General Fund (010)'!J90</f>
        <v>0</v>
      </c>
    </row>
    <row r="85" spans="1:7">
      <c r="A85" s="93" t="s">
        <v>151</v>
      </c>
      <c r="B85" s="69">
        <v>3600</v>
      </c>
      <c r="C85" s="69">
        <f>'Worksheet - General Fund (010)'!F91</f>
        <v>3600</v>
      </c>
      <c r="D85" s="69">
        <f>'Worksheet - General Fund (010)'!G91</f>
        <v>0</v>
      </c>
      <c r="E85" s="69">
        <f>'Worksheet - General Fund (010)'!H91</f>
        <v>3600</v>
      </c>
      <c r="F85" s="69">
        <f>'Worksheet - General Fund (010)'!I91</f>
        <v>3600</v>
      </c>
      <c r="G85" s="48">
        <f>'Worksheet - General Fund (010)'!J91</f>
        <v>3600</v>
      </c>
    </row>
    <row r="86" spans="1:7">
      <c r="A86" s="93" t="s">
        <v>152</v>
      </c>
      <c r="B86" s="77">
        <v>2532</v>
      </c>
      <c r="C86" s="69">
        <f>'Worksheet - General Fund (010)'!F92</f>
        <v>2500</v>
      </c>
      <c r="D86" s="69">
        <f>'Worksheet - General Fund (010)'!G92</f>
        <v>0</v>
      </c>
      <c r="E86" s="69">
        <f>'Worksheet - General Fund (010)'!H92</f>
        <v>2743</v>
      </c>
      <c r="F86" s="69">
        <f>'Worksheet - General Fund (010)'!I92</f>
        <v>2992.3636363636365</v>
      </c>
      <c r="G86" s="48">
        <f>'Worksheet - General Fund (010)'!J92</f>
        <v>2500</v>
      </c>
    </row>
    <row r="87" spans="1:7">
      <c r="A87" s="93" t="s">
        <v>155</v>
      </c>
      <c r="B87" s="77">
        <v>330</v>
      </c>
      <c r="C87" s="69">
        <f>'Worksheet - General Fund (010)'!F93</f>
        <v>500</v>
      </c>
      <c r="D87" s="69">
        <f>'Worksheet - General Fund (010)'!G93</f>
        <v>0</v>
      </c>
      <c r="E87" s="69">
        <f>'Worksheet - General Fund (010)'!H93</f>
        <v>575</v>
      </c>
      <c r="F87" s="69">
        <f>'Worksheet - General Fund (010)'!I93</f>
        <v>627.27272727272725</v>
      </c>
      <c r="G87" s="48">
        <f>'Worksheet - General Fund (010)'!J93</f>
        <v>350</v>
      </c>
    </row>
    <row r="88" spans="1:7">
      <c r="A88" s="94" t="s">
        <v>156</v>
      </c>
      <c r="B88" s="77">
        <v>650</v>
      </c>
      <c r="C88" s="69">
        <f>'Worksheet - General Fund (010)'!F94</f>
        <v>500</v>
      </c>
      <c r="D88" s="69">
        <f>'Worksheet - General Fund (010)'!G94</f>
        <v>0</v>
      </c>
      <c r="E88" s="69">
        <f>'Worksheet - General Fund (010)'!H94</f>
        <v>560</v>
      </c>
      <c r="F88" s="69">
        <f>'Worksheet - General Fund (010)'!I94</f>
        <v>610.90909090909088</v>
      </c>
      <c r="G88" s="48">
        <f>'Worksheet - General Fund (010)'!J94</f>
        <v>500</v>
      </c>
    </row>
    <row r="89" spans="1:7">
      <c r="A89" s="93" t="s">
        <v>153</v>
      </c>
      <c r="B89" s="77">
        <v>2724.75</v>
      </c>
      <c r="C89" s="69">
        <f>'Worksheet - General Fund (010)'!F95</f>
        <v>3000</v>
      </c>
      <c r="D89" s="69">
        <f>'Worksheet - General Fund (010)'!G95</f>
        <v>0</v>
      </c>
      <c r="E89" s="69">
        <f>'Worksheet - General Fund (010)'!H95</f>
        <v>12507</v>
      </c>
      <c r="F89" s="69">
        <f>'Worksheet - General Fund (010)'!I95</f>
        <v>13644</v>
      </c>
      <c r="G89" s="48">
        <f>'Worksheet - General Fund (010)'!J95</f>
        <v>4000</v>
      </c>
    </row>
    <row r="90" spans="1:7">
      <c r="A90" s="93" t="s">
        <v>154</v>
      </c>
      <c r="B90" s="77">
        <v>7747.16</v>
      </c>
      <c r="C90" s="69">
        <f>'Worksheet - General Fund (010)'!F96</f>
        <v>5000</v>
      </c>
      <c r="D90" s="69">
        <f>'Worksheet - General Fund (010)'!G96</f>
        <v>0</v>
      </c>
      <c r="E90" s="69">
        <f>'Worksheet - General Fund (010)'!H96</f>
        <v>8965</v>
      </c>
      <c r="F90" s="69">
        <f>'Worksheet - General Fund (010)'!I96</f>
        <v>9780</v>
      </c>
      <c r="G90" s="48">
        <f>'Worksheet - General Fund (010)'!J96</f>
        <v>7500</v>
      </c>
    </row>
    <row r="91" spans="1:7" ht="15.75" thickBot="1">
      <c r="A91" s="61" t="s">
        <v>1025</v>
      </c>
      <c r="B91" s="72">
        <f>SUM(B84:B90)</f>
        <v>27183.91</v>
      </c>
      <c r="C91" s="72">
        <f t="shared" ref="C91:F91" si="6">SUM(C84:C90)</f>
        <v>15100</v>
      </c>
      <c r="D91" s="72">
        <f t="shared" si="6"/>
        <v>0</v>
      </c>
      <c r="E91" s="72">
        <f t="shared" si="6"/>
        <v>28950</v>
      </c>
      <c r="F91" s="72">
        <f t="shared" si="6"/>
        <v>31254.545454545456</v>
      </c>
      <c r="G91" s="73">
        <f>SUM(G84:G90)</f>
        <v>18450</v>
      </c>
    </row>
    <row r="92" spans="1:7" ht="15.75" thickTop="1">
      <c r="B92" s="69"/>
      <c r="C92" s="69"/>
      <c r="D92" s="69"/>
      <c r="E92" s="69"/>
      <c r="F92" s="69"/>
      <c r="G92" s="76"/>
    </row>
    <row r="93" spans="1:7">
      <c r="A93" s="61" t="s">
        <v>165</v>
      </c>
      <c r="B93" s="69"/>
      <c r="C93" s="69"/>
      <c r="D93" s="69"/>
      <c r="E93" s="69"/>
      <c r="F93" s="69"/>
      <c r="G93" s="76"/>
    </row>
    <row r="94" spans="1:7" s="32" customFormat="1" ht="12.75">
      <c r="A94" s="93" t="s">
        <v>166</v>
      </c>
      <c r="B94" s="77">
        <v>12.78</v>
      </c>
      <c r="C94" s="69">
        <f>'Worksheet - General Fund (010)'!F101</f>
        <v>100</v>
      </c>
      <c r="D94" s="69">
        <f>'Worksheet - General Fund (010)'!G101</f>
        <v>0</v>
      </c>
      <c r="E94" s="69">
        <f>'Worksheet - General Fund (010)'!H101</f>
        <v>1.79</v>
      </c>
      <c r="F94" s="69">
        <f>'Worksheet - General Fund (010)'!I101</f>
        <v>1.9527272727272726</v>
      </c>
      <c r="G94" s="48">
        <f>'Worksheet - General Fund (010)'!J101</f>
        <v>5</v>
      </c>
    </row>
    <row r="95" spans="1:7">
      <c r="A95" s="93" t="s">
        <v>167</v>
      </c>
      <c r="B95" s="77">
        <v>1641.45</v>
      </c>
      <c r="C95" s="69">
        <f>'Worksheet - General Fund (010)'!F102</f>
        <v>100</v>
      </c>
      <c r="D95" s="69">
        <f>'Worksheet - General Fund (010)'!G102</f>
        <v>0</v>
      </c>
      <c r="E95" s="69">
        <f>'Worksheet - General Fund (010)'!H102</f>
        <v>22.78</v>
      </c>
      <c r="F95" s="69">
        <f>'Worksheet - General Fund (010)'!I102</f>
        <v>24.850909090909092</v>
      </c>
      <c r="G95" s="48">
        <f>'Worksheet - General Fund (010)'!J102</f>
        <v>20</v>
      </c>
    </row>
    <row r="96" spans="1:7">
      <c r="A96" s="93" t="s">
        <v>168</v>
      </c>
      <c r="B96" s="77">
        <v>22646.25</v>
      </c>
      <c r="C96" s="69">
        <f>'Worksheet - General Fund (010)'!F103</f>
        <v>10000</v>
      </c>
      <c r="D96" s="69">
        <f>'Worksheet - General Fund (010)'!G103</f>
        <v>0</v>
      </c>
      <c r="E96" s="69">
        <f>'Worksheet - General Fund (010)'!H103</f>
        <v>12072.5</v>
      </c>
      <c r="F96" s="69">
        <f>'Worksheet - General Fund (010)'!I103</f>
        <v>13170</v>
      </c>
      <c r="G96" s="48">
        <f>'Worksheet - General Fund (010)'!J103</f>
        <v>10000</v>
      </c>
    </row>
    <row r="97" spans="1:7" ht="15.75" thickBot="1">
      <c r="A97" s="61" t="s">
        <v>1026</v>
      </c>
      <c r="B97" s="72">
        <f>SUM(B94:B96)</f>
        <v>24300.48</v>
      </c>
      <c r="C97" s="72">
        <f t="shared" ref="C97:F97" si="7">SUM(C94:C96)</f>
        <v>10200</v>
      </c>
      <c r="D97" s="72">
        <f t="shared" si="7"/>
        <v>0</v>
      </c>
      <c r="E97" s="72">
        <f t="shared" si="7"/>
        <v>12097.07</v>
      </c>
      <c r="F97" s="72">
        <f t="shared" si="7"/>
        <v>13196.803636363637</v>
      </c>
      <c r="G97" s="73">
        <f>SUM(G94:G96)</f>
        <v>10025</v>
      </c>
    </row>
    <row r="98" spans="1:7" ht="15.75" thickTop="1">
      <c r="B98" s="69"/>
      <c r="C98" s="69"/>
      <c r="D98" s="69"/>
      <c r="E98" s="69"/>
      <c r="F98" s="69"/>
    </row>
    <row r="99" spans="1:7">
      <c r="A99" s="61" t="s">
        <v>173</v>
      </c>
      <c r="B99" s="69" t="s">
        <v>6</v>
      </c>
    </row>
    <row r="100" spans="1:7">
      <c r="A100" s="93" t="s">
        <v>793</v>
      </c>
      <c r="B100" s="69">
        <v>0</v>
      </c>
      <c r="C100" s="69">
        <f>'Worksheet - General Fund (010)'!F108</f>
        <v>79500</v>
      </c>
      <c r="D100" s="69">
        <f>'Worksheet - General Fund (010)'!G108</f>
        <v>0</v>
      </c>
      <c r="E100" s="69">
        <f>'Worksheet - General Fund (010)'!H108</f>
        <v>0</v>
      </c>
      <c r="F100" s="69">
        <f>'Worksheet - General Fund (010)'!I108</f>
        <v>0</v>
      </c>
      <c r="G100" s="48">
        <f>'Worksheet - General Fund (010)'!J108</f>
        <v>0</v>
      </c>
    </row>
    <row r="101" spans="1:7">
      <c r="A101" s="91" t="s">
        <v>901</v>
      </c>
      <c r="B101" s="69">
        <v>0</v>
      </c>
      <c r="C101" s="69">
        <f>'Worksheet - General Fund (010)'!F109</f>
        <v>0</v>
      </c>
      <c r="D101" s="69">
        <f>'Worksheet - General Fund (010)'!G109</f>
        <v>0</v>
      </c>
      <c r="E101" s="69">
        <f>'Worksheet - General Fund (010)'!H109</f>
        <v>0</v>
      </c>
      <c r="F101" s="69">
        <f>'Worksheet - General Fund (010)'!I109</f>
        <v>0</v>
      </c>
      <c r="G101" s="48">
        <f>'Worksheet - General Fund (010)'!J109</f>
        <v>209174.39999999999</v>
      </c>
    </row>
    <row r="102" spans="1:7">
      <c r="A102" s="93" t="s">
        <v>174</v>
      </c>
      <c r="B102" s="69">
        <v>4000</v>
      </c>
      <c r="C102" s="69">
        <f>'Worksheet - General Fund (010)'!F110</f>
        <v>4000</v>
      </c>
      <c r="D102" s="69">
        <f>'Worksheet - General Fund (010)'!G110</f>
        <v>0</v>
      </c>
      <c r="E102" s="69">
        <f>'Worksheet - General Fund (010)'!H110</f>
        <v>0</v>
      </c>
      <c r="F102" s="69">
        <f>'Worksheet - General Fund (010)'!I110</f>
        <v>4000</v>
      </c>
      <c r="G102" s="48">
        <f>'Worksheet - General Fund (010)'!J110</f>
        <v>4000</v>
      </c>
    </row>
    <row r="103" spans="1:7" ht="15.75" thickBot="1">
      <c r="A103" s="61" t="s">
        <v>1027</v>
      </c>
      <c r="B103" s="72">
        <f>SUM(B100:B102)</f>
        <v>4000</v>
      </c>
      <c r="C103" s="72">
        <f t="shared" ref="C103:F103" si="8">SUM(C100:C102)</f>
        <v>83500</v>
      </c>
      <c r="D103" s="72">
        <f t="shared" si="8"/>
        <v>0</v>
      </c>
      <c r="E103" s="72">
        <f t="shared" si="8"/>
        <v>0</v>
      </c>
      <c r="F103" s="72">
        <f t="shared" si="8"/>
        <v>4000</v>
      </c>
      <c r="G103" s="73">
        <f>SUM(G100:G102)</f>
        <v>213174.39999999999</v>
      </c>
    </row>
    <row r="104" spans="1:7" ht="15.75" thickTop="1">
      <c r="B104" s="69"/>
      <c r="C104" s="69"/>
      <c r="D104" s="69"/>
      <c r="E104" s="69"/>
      <c r="F104" s="69"/>
    </row>
    <row r="105" spans="1:7">
      <c r="A105" s="61" t="s">
        <v>176</v>
      </c>
      <c r="B105" s="69"/>
      <c r="C105" s="69"/>
      <c r="D105" s="69"/>
      <c r="E105" s="69"/>
      <c r="F105" s="69"/>
    </row>
    <row r="106" spans="1:7">
      <c r="A106" s="93" t="s">
        <v>177</v>
      </c>
      <c r="B106" s="69">
        <v>790</v>
      </c>
      <c r="C106" s="69">
        <f>'Worksheet - General Fund (010)'!F115</f>
        <v>0</v>
      </c>
      <c r="D106" s="69">
        <f>'Worksheet - General Fund (010)'!G115</f>
        <v>0</v>
      </c>
      <c r="E106" s="69">
        <f>'Worksheet - General Fund (010)'!H115</f>
        <v>1582.4</v>
      </c>
      <c r="F106" s="69">
        <f>'Worksheet - General Fund (010)'!I115</f>
        <v>1582</v>
      </c>
      <c r="G106" s="48">
        <f>'Worksheet - General Fund (010)'!J115</f>
        <v>0</v>
      </c>
    </row>
    <row r="107" spans="1:7">
      <c r="A107" s="93" t="s">
        <v>178</v>
      </c>
      <c r="B107" s="69">
        <v>0</v>
      </c>
      <c r="C107" s="69">
        <f>'Worksheet - General Fund (010)'!F116</f>
        <v>0</v>
      </c>
      <c r="D107" s="69">
        <f>'Worksheet - General Fund (010)'!G116</f>
        <v>0</v>
      </c>
      <c r="E107" s="69">
        <f>'Worksheet - General Fund (010)'!H116</f>
        <v>0</v>
      </c>
      <c r="F107" s="69">
        <f>'Worksheet - General Fund (010)'!I116</f>
        <v>0</v>
      </c>
      <c r="G107" s="48">
        <f>'Worksheet - General Fund (010)'!J116</f>
        <v>0</v>
      </c>
    </row>
    <row r="108" spans="1:7">
      <c r="A108" s="93" t="s">
        <v>179</v>
      </c>
      <c r="B108" s="70">
        <v>0</v>
      </c>
      <c r="C108" s="69">
        <f>'Worksheet - General Fund (010)'!F117</f>
        <v>0</v>
      </c>
      <c r="D108" s="69">
        <f>'Worksheet - General Fund (010)'!G117</f>
        <v>0</v>
      </c>
      <c r="E108" s="69">
        <f>'Worksheet - General Fund (010)'!H117</f>
        <v>0</v>
      </c>
      <c r="F108" s="69">
        <f>'Worksheet - General Fund (010)'!I117</f>
        <v>0</v>
      </c>
      <c r="G108" s="48">
        <f>'Worksheet - General Fund (010)'!J117</f>
        <v>0</v>
      </c>
    </row>
    <row r="109" spans="1:7">
      <c r="A109" s="93" t="s">
        <v>180</v>
      </c>
      <c r="B109" s="70">
        <v>0</v>
      </c>
      <c r="C109" s="69">
        <f>'Worksheet - General Fund (010)'!F118</f>
        <v>0</v>
      </c>
      <c r="D109" s="69">
        <f>'Worksheet - General Fund (010)'!G118</f>
        <v>0</v>
      </c>
      <c r="E109" s="69">
        <f>'Worksheet - General Fund (010)'!H118</f>
        <v>0</v>
      </c>
      <c r="F109" s="69">
        <f>'Worksheet - General Fund (010)'!I118</f>
        <v>0</v>
      </c>
      <c r="G109" s="48">
        <f>'Worksheet - General Fund (010)'!J118</f>
        <v>0</v>
      </c>
    </row>
    <row r="110" spans="1:7">
      <c r="A110" s="93" t="s">
        <v>181</v>
      </c>
      <c r="B110" s="69">
        <v>100</v>
      </c>
      <c r="C110" s="69">
        <f>'Worksheet - General Fund (010)'!F119</f>
        <v>0</v>
      </c>
      <c r="D110" s="69">
        <f>'Worksheet - General Fund (010)'!G119</f>
        <v>0</v>
      </c>
      <c r="E110" s="69">
        <f>'Worksheet - General Fund (010)'!H119</f>
        <v>100</v>
      </c>
      <c r="F110" s="69">
        <f>'Worksheet - General Fund (010)'!I119</f>
        <v>100</v>
      </c>
      <c r="G110" s="48">
        <f>'Worksheet - General Fund (010)'!J119</f>
        <v>0</v>
      </c>
    </row>
    <row r="111" spans="1:7" ht="15.75" thickBot="1">
      <c r="A111" s="61" t="s">
        <v>1028</v>
      </c>
      <c r="B111" s="72">
        <f>SUM(B106:B110)</f>
        <v>890</v>
      </c>
      <c r="C111" s="72">
        <f t="shared" ref="C111:F111" si="9">SUM(C106:C110)</f>
        <v>0</v>
      </c>
      <c r="D111" s="72">
        <f t="shared" si="9"/>
        <v>0</v>
      </c>
      <c r="E111" s="72">
        <f t="shared" si="9"/>
        <v>1682.4</v>
      </c>
      <c r="F111" s="72">
        <f t="shared" si="9"/>
        <v>1682</v>
      </c>
      <c r="G111" s="81">
        <f>SUM(G106:G110)</f>
        <v>0</v>
      </c>
    </row>
    <row r="112" spans="1:7" ht="15.75" thickTop="1">
      <c r="B112" s="69"/>
      <c r="C112" s="69"/>
      <c r="D112" s="69"/>
      <c r="E112" s="69"/>
      <c r="F112" s="69"/>
    </row>
    <row r="113" spans="1:7">
      <c r="A113" s="61" t="s">
        <v>187</v>
      </c>
      <c r="B113" s="69"/>
      <c r="C113" s="69"/>
      <c r="D113" s="69"/>
      <c r="E113" s="69"/>
      <c r="F113" s="69"/>
    </row>
    <row r="114" spans="1:7">
      <c r="A114" s="93" t="s">
        <v>188</v>
      </c>
      <c r="B114" s="69">
        <v>15657.83</v>
      </c>
      <c r="C114" s="69">
        <f>'Worksheet - General Fund (010)'!F124</f>
        <v>0</v>
      </c>
      <c r="D114" s="69">
        <f>'Worksheet - General Fund (010)'!G124</f>
        <v>0</v>
      </c>
      <c r="E114" s="69">
        <f>'Worksheet - General Fund (010)'!H124</f>
        <v>6701.65</v>
      </c>
      <c r="F114" s="69">
        <f>'Worksheet - General Fund (010)'!I124</f>
        <v>4605</v>
      </c>
      <c r="G114" s="48">
        <f>'Worksheet - General Fund (010)'!J124</f>
        <v>0</v>
      </c>
    </row>
    <row r="115" spans="1:7">
      <c r="A115" s="93" t="s">
        <v>189</v>
      </c>
      <c r="B115" s="69">
        <v>268872</v>
      </c>
      <c r="C115" s="69">
        <f>'Worksheet - General Fund (010)'!F125</f>
        <v>0</v>
      </c>
      <c r="D115" s="69">
        <f>'Worksheet - General Fund (010)'!G125</f>
        <v>0</v>
      </c>
      <c r="E115" s="69">
        <f>'Worksheet - General Fund (010)'!H125</f>
        <v>186484.97</v>
      </c>
      <c r="F115" s="69">
        <f>'Worksheet - General Fund (010)'!I125</f>
        <v>13446</v>
      </c>
      <c r="G115" s="48">
        <f>'Worksheet - General Fund (010)'!J125</f>
        <v>0</v>
      </c>
    </row>
    <row r="116" spans="1:7" s="32" customFormat="1" ht="12.75">
      <c r="A116" s="93" t="s">
        <v>190</v>
      </c>
      <c r="B116" s="70">
        <v>125</v>
      </c>
      <c r="C116" s="69">
        <f>'Worksheet - General Fund (010)'!F126</f>
        <v>0</v>
      </c>
      <c r="D116" s="69">
        <f>'Worksheet - General Fund (010)'!G126</f>
        <v>0</v>
      </c>
      <c r="E116" s="69">
        <f>'Worksheet - General Fund (010)'!H126</f>
        <v>40000</v>
      </c>
      <c r="F116" s="69">
        <f>'Worksheet - General Fund (010)'!I126</f>
        <v>40000</v>
      </c>
      <c r="G116" s="48">
        <f>'Worksheet - General Fund (010)'!J126</f>
        <v>0</v>
      </c>
    </row>
    <row r="117" spans="1:7" ht="15.75" thickBot="1">
      <c r="A117" s="61" t="s">
        <v>951</v>
      </c>
      <c r="B117" s="72">
        <f t="shared" ref="B117:G117" si="10">SUM(B114:B116)</f>
        <v>284654.83</v>
      </c>
      <c r="C117" s="72">
        <f t="shared" si="10"/>
        <v>0</v>
      </c>
      <c r="D117" s="72">
        <f t="shared" si="10"/>
        <v>0</v>
      </c>
      <c r="E117" s="72">
        <f t="shared" si="10"/>
        <v>233186.62</v>
      </c>
      <c r="F117" s="72">
        <f t="shared" si="10"/>
        <v>58051</v>
      </c>
      <c r="G117" s="73">
        <f t="shared" si="10"/>
        <v>0</v>
      </c>
    </row>
    <row r="118" spans="1:7" ht="16.5" thickTop="1" thickBot="1">
      <c r="A118" s="61"/>
      <c r="B118" s="72"/>
      <c r="C118" s="72"/>
      <c r="D118" s="72"/>
      <c r="E118" s="72"/>
      <c r="F118" s="72"/>
      <c r="G118" s="73"/>
    </row>
    <row r="119" spans="1:7" s="4" customFormat="1" ht="16.5" thickTop="1" thickBot="1">
      <c r="A119" s="108" t="s">
        <v>1095</v>
      </c>
      <c r="B119" s="165">
        <v>0</v>
      </c>
      <c r="C119" s="165">
        <v>0</v>
      </c>
      <c r="D119" s="165">
        <f>SUM('Worksheet - Water Fund (020)'!D30:D32)</f>
        <v>0</v>
      </c>
      <c r="E119" s="165">
        <f>'Summary - PS Bldg Fund (040)'!E14</f>
        <v>571976.42999999993</v>
      </c>
      <c r="F119" s="165">
        <f>'Summary - PS Bldg Fund (040)'!F14</f>
        <v>621976.42999999993</v>
      </c>
      <c r="G119" s="209">
        <v>0</v>
      </c>
    </row>
    <row r="120" spans="1:7" ht="15.75" thickTop="1">
      <c r="B120" s="69"/>
      <c r="C120" s="69"/>
      <c r="D120" s="69"/>
      <c r="E120" s="69"/>
      <c r="F120" s="69"/>
    </row>
    <row r="121" spans="1:7" ht="15.75" thickBot="1">
      <c r="A121" s="61" t="s">
        <v>997</v>
      </c>
      <c r="B121" s="72">
        <f t="shared" ref="B121:D121" si="11">B22+B26+B40+B69+B74+B81+B91+B97+B103+B111+B117</f>
        <v>2343209.0299999998</v>
      </c>
      <c r="C121" s="72">
        <f t="shared" si="11"/>
        <v>2100521</v>
      </c>
      <c r="D121" s="72">
        <f t="shared" si="11"/>
        <v>0</v>
      </c>
      <c r="E121" s="72">
        <f>E22+E26+E40+E69+E74+E81+E91+E97+E103+E111+E117+E119</f>
        <v>3070389.34</v>
      </c>
      <c r="F121" s="72">
        <f t="shared" ref="F121:G121" si="12">F22+F26+F40+F69+F74+F81+F91+F97+F103+F111+F117+F119</f>
        <v>3112279.5536363637</v>
      </c>
      <c r="G121" s="72">
        <f t="shared" si="12"/>
        <v>2387096.4</v>
      </c>
    </row>
    <row r="122" spans="1:7" ht="15.75" thickTop="1">
      <c r="A122" s="61"/>
      <c r="B122" s="75"/>
      <c r="C122" s="75"/>
      <c r="D122" s="75"/>
      <c r="E122" s="75"/>
      <c r="F122" s="75"/>
      <c r="G122" s="75"/>
    </row>
    <row r="123" spans="1:7">
      <c r="B123" s="69"/>
      <c r="C123" s="82" t="s">
        <v>6</v>
      </c>
      <c r="D123" s="82"/>
      <c r="E123" s="82" t="s">
        <v>6</v>
      </c>
      <c r="F123" s="82" t="s">
        <v>6</v>
      </c>
    </row>
    <row r="124" spans="1:7">
      <c r="A124" s="61" t="s">
        <v>866</v>
      </c>
      <c r="B124" s="69"/>
      <c r="C124" s="82"/>
      <c r="D124" s="82"/>
      <c r="E124" s="82"/>
      <c r="F124" s="82"/>
    </row>
    <row r="125" spans="1:7" s="32" customFormat="1" ht="12.75">
      <c r="A125" s="59"/>
      <c r="B125" s="69"/>
      <c r="C125" s="69"/>
      <c r="D125" s="69"/>
      <c r="E125" s="69"/>
      <c r="F125" s="69"/>
      <c r="G125" s="60"/>
    </row>
    <row r="126" spans="1:7">
      <c r="A126" s="61" t="s">
        <v>195</v>
      </c>
      <c r="B126" s="69"/>
      <c r="C126" s="69"/>
      <c r="D126" s="69"/>
      <c r="E126" s="69"/>
      <c r="F126" s="69"/>
    </row>
    <row r="127" spans="1:7">
      <c r="A127" s="95" t="s">
        <v>22</v>
      </c>
      <c r="B127" s="77">
        <v>0</v>
      </c>
      <c r="C127" s="77">
        <f>'Worksheet - General Fund (010)'!G142</f>
        <v>0</v>
      </c>
      <c r="D127" s="77">
        <f>'Worksheet - General Fund (010)'!H142</f>
        <v>0</v>
      </c>
      <c r="E127" s="77">
        <f>'Worksheet - General Fund (010)'!I142</f>
        <v>0</v>
      </c>
      <c r="F127" s="77">
        <f>'Worksheet - General Fund (010)'!J142</f>
        <v>0</v>
      </c>
      <c r="G127" s="77">
        <f>'Worksheet - General Fund (010)'!K142</f>
        <v>0</v>
      </c>
    </row>
    <row r="128" spans="1:7">
      <c r="A128" s="95" t="s">
        <v>199</v>
      </c>
      <c r="B128" s="77">
        <v>0</v>
      </c>
      <c r="C128" s="77">
        <f>'Worksheet - General Fund (010)'!F146</f>
        <v>3000</v>
      </c>
      <c r="D128" s="77">
        <f>'Worksheet - General Fund (010)'!G146</f>
        <v>0</v>
      </c>
      <c r="E128" s="77">
        <f>'Worksheet - General Fund (010)'!H146</f>
        <v>2029.22</v>
      </c>
      <c r="F128" s="77">
        <f>'Worksheet - General Fund (010)'!I146</f>
        <v>2029.22</v>
      </c>
      <c r="G128" s="77">
        <f>'Worksheet - General Fund (010)'!J146</f>
        <v>3000</v>
      </c>
    </row>
    <row r="129" spans="1:7" s="32" customFormat="1" ht="13.5" thickBot="1">
      <c r="A129" s="61" t="s">
        <v>1029</v>
      </c>
      <c r="B129" s="72">
        <f>SUM(B127:B128)</f>
        <v>0</v>
      </c>
      <c r="C129" s="72">
        <f>SUM(C127:C128)</f>
        <v>3000</v>
      </c>
      <c r="D129" s="72">
        <f t="shared" ref="D129:G129" si="13">SUM(D127:D128)</f>
        <v>0</v>
      </c>
      <c r="E129" s="72">
        <f t="shared" si="13"/>
        <v>2029.22</v>
      </c>
      <c r="F129" s="72">
        <f t="shared" si="13"/>
        <v>2029.22</v>
      </c>
      <c r="G129" s="72">
        <f t="shared" si="13"/>
        <v>3000</v>
      </c>
    </row>
    <row r="130" spans="1:7" ht="15.75" thickTop="1">
      <c r="B130" s="69"/>
      <c r="C130" s="69"/>
      <c r="D130" s="69"/>
      <c r="E130" s="69"/>
      <c r="F130" s="69"/>
    </row>
    <row r="131" spans="1:7">
      <c r="A131" s="61" t="s">
        <v>203</v>
      </c>
      <c r="B131" s="69"/>
      <c r="C131" s="69"/>
      <c r="D131" s="69"/>
      <c r="E131" s="69"/>
      <c r="F131" s="69"/>
    </row>
    <row r="132" spans="1:7">
      <c r="A132" s="93" t="s">
        <v>22</v>
      </c>
      <c r="B132" s="77">
        <v>2860</v>
      </c>
      <c r="C132" s="77">
        <f>'Worksheet - General Fund (010)'!F160</f>
        <v>4917</v>
      </c>
      <c r="D132" s="77">
        <f>'Worksheet - General Fund (010)'!G160</f>
        <v>0</v>
      </c>
      <c r="E132" s="77">
        <f>'Worksheet - General Fund (010)'!H160</f>
        <v>4399.68</v>
      </c>
      <c r="F132" s="77">
        <f>'Worksheet - General Fund (010)'!I160</f>
        <v>4342.6225299999996</v>
      </c>
      <c r="G132" s="77">
        <f>'Worksheet - General Fund (010)'!J160</f>
        <v>5113.375</v>
      </c>
    </row>
    <row r="133" spans="1:7">
      <c r="A133" s="93" t="s">
        <v>202</v>
      </c>
      <c r="B133" s="77">
        <f>80+4800</f>
        <v>4880</v>
      </c>
      <c r="C133" s="77">
        <f>'Worksheet - General Fund (010)'!F165</f>
        <v>4950</v>
      </c>
      <c r="D133" s="77">
        <f>'Worksheet - General Fund (010)'!G165</f>
        <v>0</v>
      </c>
      <c r="E133" s="77">
        <f>'Worksheet - General Fund (010)'!H165</f>
        <v>4440</v>
      </c>
      <c r="F133" s="77">
        <f>'Worksheet - General Fund (010)'!I165</f>
        <v>4840</v>
      </c>
      <c r="G133" s="77">
        <f>'Worksheet - General Fund (010)'!J165</f>
        <v>4850</v>
      </c>
    </row>
    <row r="134" spans="1:7">
      <c r="A134" s="93" t="s">
        <v>204</v>
      </c>
      <c r="B134" s="77">
        <v>10.59</v>
      </c>
      <c r="C134" s="77">
        <f>'Worksheet - General Fund (010)'!F169</f>
        <v>150</v>
      </c>
      <c r="D134" s="77">
        <f>'Worksheet - General Fund (010)'!G169</f>
        <v>0</v>
      </c>
      <c r="E134" s="77">
        <f>'Worksheet - General Fund (010)'!H169</f>
        <v>63.4</v>
      </c>
      <c r="F134" s="77">
        <f>'Worksheet - General Fund (010)'!I169</f>
        <v>63</v>
      </c>
      <c r="G134" s="77">
        <f>'Worksheet - General Fund (010)'!J169</f>
        <v>65</v>
      </c>
    </row>
    <row r="135" spans="1:7" ht="15.75" thickBot="1">
      <c r="A135" s="61" t="s">
        <v>1030</v>
      </c>
      <c r="B135" s="72">
        <f>SUM(B132:B134)</f>
        <v>7750.59</v>
      </c>
      <c r="C135" s="72">
        <f>SUM(C132:C134)</f>
        <v>10017</v>
      </c>
      <c r="D135" s="72">
        <f t="shared" ref="D135:G135" si="14">SUM(D132:D134)</f>
        <v>0</v>
      </c>
      <c r="E135" s="72">
        <f t="shared" si="14"/>
        <v>8903.08</v>
      </c>
      <c r="F135" s="165">
        <f t="shared" si="14"/>
        <v>9245.6225300000006</v>
      </c>
      <c r="G135" s="165">
        <f t="shared" si="14"/>
        <v>10028.375</v>
      </c>
    </row>
    <row r="136" spans="1:7" ht="15.75" thickTop="1">
      <c r="B136" s="75"/>
      <c r="C136" s="69"/>
      <c r="D136" s="69"/>
      <c r="E136" s="69"/>
      <c r="F136" s="69"/>
    </row>
    <row r="137" spans="1:7">
      <c r="A137" s="61" t="s">
        <v>213</v>
      </c>
      <c r="B137" s="69"/>
      <c r="C137" s="69"/>
      <c r="D137" s="69"/>
      <c r="E137" s="69"/>
      <c r="F137" s="69"/>
    </row>
    <row r="138" spans="1:7">
      <c r="A138" s="95" t="s">
        <v>202</v>
      </c>
      <c r="B138" s="77">
        <v>0</v>
      </c>
      <c r="C138" s="77">
        <f>'Worksheet - General Fund (010)'!F177</f>
        <v>4000</v>
      </c>
      <c r="D138" s="77">
        <f>'Worksheet - General Fund (010)'!G177</f>
        <v>0</v>
      </c>
      <c r="E138" s="77">
        <f>'Worksheet - General Fund (010)'!H177</f>
        <v>57.24</v>
      </c>
      <c r="F138" s="77">
        <f>'Worksheet - General Fund (010)'!I177</f>
        <v>57</v>
      </c>
      <c r="G138" s="77">
        <f>'Worksheet - General Fund (010)'!J177</f>
        <v>0</v>
      </c>
    </row>
    <row r="139" spans="1:7" ht="15.75" thickBot="1">
      <c r="A139" s="61" t="s">
        <v>1031</v>
      </c>
      <c r="B139" s="72">
        <f>SUM(B138)</f>
        <v>0</v>
      </c>
      <c r="C139" s="72">
        <f>SUM(C138)</f>
        <v>4000</v>
      </c>
      <c r="D139" s="72">
        <f t="shared" ref="D139:G139" si="15">SUM(D138)</f>
        <v>0</v>
      </c>
      <c r="E139" s="72">
        <f t="shared" si="15"/>
        <v>57.24</v>
      </c>
      <c r="F139" s="72">
        <f t="shared" si="15"/>
        <v>57</v>
      </c>
      <c r="G139" s="72">
        <f t="shared" si="15"/>
        <v>0</v>
      </c>
    </row>
    <row r="140" spans="1:7" ht="15.75" thickTop="1">
      <c r="B140" s="69"/>
      <c r="C140" s="69"/>
      <c r="D140" s="69"/>
      <c r="E140" s="69"/>
      <c r="F140" s="69"/>
    </row>
    <row r="141" spans="1:7">
      <c r="A141" s="61" t="s">
        <v>216</v>
      </c>
      <c r="B141" s="69"/>
      <c r="C141" s="69"/>
      <c r="D141" s="69"/>
      <c r="E141" s="69"/>
      <c r="F141" s="69"/>
    </row>
    <row r="142" spans="1:7">
      <c r="A142" s="95" t="s">
        <v>22</v>
      </c>
      <c r="B142" s="69">
        <f>73873.89+26472.72+5216.2+4533+48199.18+13412.73+144173.76</f>
        <v>315881.48</v>
      </c>
      <c r="C142" s="77">
        <f>'Worksheet - General Fund (010)'!F196</f>
        <v>299972.5</v>
      </c>
      <c r="D142" s="77">
        <f>'Worksheet - General Fund (010)'!G196</f>
        <v>0</v>
      </c>
      <c r="E142" s="77">
        <f>'Worksheet - General Fund (010)'!H196</f>
        <v>244206.14</v>
      </c>
      <c r="F142" s="77">
        <f>'Worksheet - General Fund (010)'!I196</f>
        <v>287980.6976822727</v>
      </c>
      <c r="G142" s="77">
        <f>'Worksheet - General Fund (010)'!J196</f>
        <v>281442.5</v>
      </c>
    </row>
    <row r="143" spans="1:7">
      <c r="A143" s="93" t="s">
        <v>199</v>
      </c>
      <c r="B143" s="69">
        <f>0+4887.38+2627.13</f>
        <v>7514.51</v>
      </c>
      <c r="C143" s="77">
        <f>'Worksheet - General Fund (010)'!F202</f>
        <v>11000</v>
      </c>
      <c r="D143" s="77">
        <f>'Worksheet - General Fund (010)'!G202</f>
        <v>0</v>
      </c>
      <c r="E143" s="77">
        <f>'Worksheet - General Fund (010)'!H202</f>
        <v>5740.82</v>
      </c>
      <c r="F143" s="77">
        <f>'Worksheet - General Fund (010)'!I202</f>
        <v>6262.7127272727275</v>
      </c>
      <c r="G143" s="77">
        <f>'Worksheet - General Fund (010)'!J202</f>
        <v>9600</v>
      </c>
    </row>
    <row r="144" spans="1:7">
      <c r="A144" s="95" t="s">
        <v>202</v>
      </c>
      <c r="B144" s="69">
        <f>5201.22+5510.97+1117.6+580+29146.05+20628.07+53601.25+9038.32+9796.38+6273.93+12030.72+1861.08+8270.45+8341.28+2444.84+3049.66+2594.24+1905.98+5262.11+29640+8430.85</f>
        <v>224725</v>
      </c>
      <c r="C144" s="77">
        <f>'Worksheet - General Fund (010)'!F228</f>
        <v>175797</v>
      </c>
      <c r="D144" s="77">
        <f>'Worksheet - General Fund (010)'!G228</f>
        <v>0</v>
      </c>
      <c r="E144" s="77">
        <f>'Worksheet - General Fund (010)'!H228</f>
        <v>252299.33000000002</v>
      </c>
      <c r="F144" s="77">
        <f>'Worksheet - General Fund (010)'!I228</f>
        <v>275235.63272727269</v>
      </c>
      <c r="G144" s="77">
        <f>'Worksheet - General Fund (010)'!J228</f>
        <v>238380</v>
      </c>
    </row>
    <row r="145" spans="1:9">
      <c r="A145" s="93" t="s">
        <v>204</v>
      </c>
      <c r="B145" s="69">
        <f>6641.12+2975.33+774.88</f>
        <v>10391.33</v>
      </c>
      <c r="C145" s="77">
        <f>'Worksheet - General Fund (010)'!F234</f>
        <v>9000</v>
      </c>
      <c r="D145" s="77">
        <f>'Worksheet - General Fund (010)'!G234</f>
        <v>0</v>
      </c>
      <c r="E145" s="77">
        <f>'Worksheet - General Fund (010)'!H234</f>
        <v>8789.08</v>
      </c>
      <c r="F145" s="77">
        <f>'Worksheet - General Fund (010)'!I234</f>
        <v>9588.0872727272745</v>
      </c>
      <c r="G145" s="77">
        <f>'Worksheet - General Fund (010)'!J234</f>
        <v>8600</v>
      </c>
    </row>
    <row r="146" spans="1:9">
      <c r="A146" s="95" t="s">
        <v>824</v>
      </c>
      <c r="B146" s="77">
        <v>4207</v>
      </c>
      <c r="C146" s="77">
        <f>'Worksheet - General Fund (010)'!F238</f>
        <v>1000</v>
      </c>
      <c r="D146" s="77">
        <f>'Worksheet - General Fund (010)'!G238</f>
        <v>0</v>
      </c>
      <c r="E146" s="77">
        <f>'Worksheet - General Fund (010)'!H238</f>
        <v>1369.42</v>
      </c>
      <c r="F146" s="77">
        <f>'Worksheet - General Fund (010)'!I238</f>
        <v>1493.9127272727274</v>
      </c>
      <c r="G146" s="77">
        <f>'Worksheet - General Fund (010)'!J238</f>
        <v>1500</v>
      </c>
    </row>
    <row r="147" spans="1:9">
      <c r="A147" s="95" t="s">
        <v>24</v>
      </c>
      <c r="B147" s="77">
        <v>0</v>
      </c>
      <c r="C147" s="77">
        <f>'Worksheet - General Fund (010)'!F242</f>
        <v>2000</v>
      </c>
      <c r="D147" s="77">
        <f>'Worksheet - General Fund (010)'!G242</f>
        <v>0</v>
      </c>
      <c r="E147" s="77">
        <f>'Worksheet - General Fund (010)'!H242</f>
        <v>2000</v>
      </c>
      <c r="F147" s="77">
        <f>'Worksheet - General Fund (010)'!I242</f>
        <v>2000</v>
      </c>
      <c r="G147" s="77">
        <f>'Worksheet - General Fund (010)'!J242</f>
        <v>2000</v>
      </c>
    </row>
    <row r="148" spans="1:9" s="4" customFormat="1">
      <c r="A148" s="93" t="s">
        <v>30</v>
      </c>
      <c r="B148" s="77">
        <v>23877.5</v>
      </c>
      <c r="C148" s="77">
        <f>'Worksheet - General Fund (010)'!F246</f>
        <v>0</v>
      </c>
      <c r="D148" s="77">
        <f>'Worksheet - General Fund (010)'!G246</f>
        <v>0</v>
      </c>
      <c r="E148" s="77">
        <f>'Worksheet - General Fund (010)'!H246</f>
        <v>0</v>
      </c>
      <c r="F148" s="77">
        <f>'Worksheet - General Fund (010)'!I246</f>
        <v>0</v>
      </c>
      <c r="G148" s="77">
        <f>'Worksheet - General Fund (010)'!J246</f>
        <v>23878</v>
      </c>
    </row>
    <row r="149" spans="1:9" ht="15.75" thickBot="1">
      <c r="A149" s="61" t="s">
        <v>1032</v>
      </c>
      <c r="B149" s="72">
        <f>SUM(B142:B148)</f>
        <v>586596.81999999995</v>
      </c>
      <c r="C149" s="72">
        <f>SUM(C142:C148)</f>
        <v>498769.5</v>
      </c>
      <c r="D149" s="72">
        <f t="shared" ref="D149:G149" si="16">SUM(D142:D148)</f>
        <v>0</v>
      </c>
      <c r="E149" s="72">
        <f t="shared" si="16"/>
        <v>514404.79000000004</v>
      </c>
      <c r="F149" s="72">
        <f t="shared" si="16"/>
        <v>582561.0431368181</v>
      </c>
      <c r="G149" s="72">
        <f t="shared" si="16"/>
        <v>565400.5</v>
      </c>
      <c r="I149" s="57"/>
    </row>
    <row r="150" spans="1:9" ht="15.75" thickTop="1">
      <c r="A150" s="61"/>
      <c r="B150" s="77"/>
      <c r="C150" s="75"/>
      <c r="D150" s="75"/>
      <c r="E150" s="75"/>
      <c r="F150" s="75"/>
    </row>
    <row r="151" spans="1:9">
      <c r="A151" s="61" t="s">
        <v>804</v>
      </c>
      <c r="B151" s="77"/>
      <c r="C151" s="69"/>
      <c r="D151" s="69"/>
      <c r="E151" s="69"/>
      <c r="F151" s="69"/>
    </row>
    <row r="152" spans="1:9">
      <c r="A152" s="95" t="s">
        <v>22</v>
      </c>
      <c r="B152" s="77">
        <f>4523.11+338.32</f>
        <v>4861.4299999999994</v>
      </c>
      <c r="C152" s="77">
        <f>'Worksheet - General Fund (010)'!F260</f>
        <v>8073.75</v>
      </c>
      <c r="D152" s="77">
        <f>'Worksheet - General Fund (010)'!G260</f>
        <v>0</v>
      </c>
      <c r="E152" s="77">
        <f>'Worksheet - General Fund (010)'!H260</f>
        <v>5664.89</v>
      </c>
      <c r="F152" s="77">
        <f>'Worksheet - General Fund (010)'!I260</f>
        <v>7765.0097999999998</v>
      </c>
      <c r="G152" s="77">
        <f>'Worksheet - General Fund (010)'!J260</f>
        <v>20453.5</v>
      </c>
    </row>
    <row r="153" spans="1:9">
      <c r="A153" s="95" t="s">
        <v>204</v>
      </c>
      <c r="B153" s="77">
        <f>2333.62+0</f>
        <v>2333.62</v>
      </c>
      <c r="C153" s="77">
        <f>'Worksheet - General Fund (010)'!F265</f>
        <v>4000</v>
      </c>
      <c r="D153" s="77">
        <f>'Worksheet - General Fund (010)'!G265</f>
        <v>0</v>
      </c>
      <c r="E153" s="77">
        <f>'Worksheet - General Fund (010)'!H265</f>
        <v>4503.05</v>
      </c>
      <c r="F153" s="77">
        <f>'Worksheet - General Fund (010)'!I265</f>
        <v>4912.4181818181823</v>
      </c>
      <c r="G153" s="77">
        <f>'Worksheet - General Fund (010)'!J265</f>
        <v>5500</v>
      </c>
    </row>
    <row r="154" spans="1:9" ht="15.75" thickBot="1">
      <c r="A154" s="61" t="s">
        <v>1033</v>
      </c>
      <c r="B154" s="72">
        <f t="shared" ref="B154" si="17">SUM(B152:B153)</f>
        <v>7195.0499999999993</v>
      </c>
      <c r="C154" s="72">
        <f>SUM(C152:C153)</f>
        <v>12073.75</v>
      </c>
      <c r="D154" s="72">
        <f t="shared" ref="D154:G154" si="18">SUM(D152:D153)</f>
        <v>0</v>
      </c>
      <c r="E154" s="72">
        <f t="shared" si="18"/>
        <v>10167.94</v>
      </c>
      <c r="F154" s="72">
        <f t="shared" si="18"/>
        <v>12677.427981818182</v>
      </c>
      <c r="G154" s="72">
        <f t="shared" si="18"/>
        <v>25953.5</v>
      </c>
    </row>
    <row r="155" spans="1:9" ht="15.75" thickTop="1">
      <c r="B155" s="69"/>
      <c r="C155" s="69"/>
      <c r="D155" s="69"/>
      <c r="E155" s="69"/>
      <c r="F155" s="69"/>
    </row>
    <row r="156" spans="1:9">
      <c r="A156" s="61" t="s">
        <v>805</v>
      </c>
      <c r="B156" s="69"/>
      <c r="C156" s="69"/>
      <c r="D156" s="69"/>
      <c r="E156" s="69"/>
      <c r="F156" s="69"/>
    </row>
    <row r="157" spans="1:9">
      <c r="A157" s="95" t="s">
        <v>22</v>
      </c>
      <c r="B157" s="69">
        <f>270535.94+53998.38+0+5934.88+25938.28</f>
        <v>356407.48</v>
      </c>
      <c r="C157" s="77">
        <f>'Worksheet - General Fund (010)'!F282</f>
        <v>338942</v>
      </c>
      <c r="D157" s="77">
        <f>'Worksheet - General Fund (010)'!G282</f>
        <v>0</v>
      </c>
      <c r="E157" s="77">
        <f>'Worksheet - General Fund (010)'!H282</f>
        <v>370934.25999999995</v>
      </c>
      <c r="F157" s="77">
        <f>'Worksheet - General Fund (010)'!I282</f>
        <v>391860.89180500002</v>
      </c>
      <c r="G157" s="77">
        <f>'Worksheet - General Fund (010)'!J282</f>
        <v>395114.5</v>
      </c>
    </row>
    <row r="158" spans="1:9">
      <c r="A158" s="95" t="s">
        <v>199</v>
      </c>
      <c r="B158" s="77">
        <f>1519.92+1347.64+8172.66</f>
        <v>11040.220000000001</v>
      </c>
      <c r="C158" s="77">
        <f>'Worksheet - General Fund (010)'!F288</f>
        <v>12200</v>
      </c>
      <c r="D158" s="77">
        <f>'Worksheet - General Fund (010)'!G288</f>
        <v>0</v>
      </c>
      <c r="E158" s="77">
        <f>'Worksheet - General Fund (010)'!H288</f>
        <v>32822.83</v>
      </c>
      <c r="F158" s="77">
        <f>'Worksheet - General Fund (010)'!I288</f>
        <v>14327.8</v>
      </c>
      <c r="G158" s="77">
        <f>'Worksheet - General Fund (010)'!J288</f>
        <v>13200</v>
      </c>
    </row>
    <row r="159" spans="1:9">
      <c r="A159" s="95" t="s">
        <v>202</v>
      </c>
      <c r="B159" s="77">
        <f>0+2282.6+490+1398.98+1628.48+1863.22+797+2393.13+6336</f>
        <v>17189.41</v>
      </c>
      <c r="C159" s="77">
        <f>'Worksheet - General Fund (010)'!F300</f>
        <v>21800</v>
      </c>
      <c r="D159" s="77">
        <f>'Worksheet - General Fund (010)'!G300</f>
        <v>0</v>
      </c>
      <c r="E159" s="77">
        <f>'Worksheet - General Fund (010)'!H300</f>
        <v>21891.89</v>
      </c>
      <c r="F159" s="77">
        <f>'Worksheet - General Fund (010)'!I300</f>
        <v>23358.952727272728</v>
      </c>
      <c r="G159" s="77">
        <f>'Worksheet - General Fund (010)'!J300</f>
        <v>21120</v>
      </c>
    </row>
    <row r="160" spans="1:9">
      <c r="A160" s="95" t="s">
        <v>204</v>
      </c>
      <c r="B160" s="77">
        <f>516.36+14777.26</f>
        <v>15293.62</v>
      </c>
      <c r="C160" s="77">
        <f>'Worksheet - General Fund (010)'!F305</f>
        <v>13500</v>
      </c>
      <c r="D160" s="77">
        <f>'Worksheet - General Fund (010)'!G305</f>
        <v>0</v>
      </c>
      <c r="E160" s="77">
        <f>'Worksheet - General Fund (010)'!H305</f>
        <v>12990.36</v>
      </c>
      <c r="F160" s="77">
        <f>'Worksheet - General Fund (010)'!I305</f>
        <v>14171.301818181819</v>
      </c>
      <c r="G160" s="77">
        <f>'Worksheet - General Fund (010)'!J305</f>
        <v>13700</v>
      </c>
    </row>
    <row r="161" spans="1:7">
      <c r="A161" s="95" t="s">
        <v>217</v>
      </c>
      <c r="B161" s="77">
        <f>4790+5562.59+6873.75</f>
        <v>17226.34</v>
      </c>
      <c r="C161" s="77">
        <f>'Worksheet - General Fund (010)'!F311</f>
        <v>13190</v>
      </c>
      <c r="D161" s="77">
        <f>'Worksheet - General Fund (010)'!G311</f>
        <v>0</v>
      </c>
      <c r="E161" s="77">
        <f>'Worksheet - General Fund (010)'!H311</f>
        <v>14246.29</v>
      </c>
      <c r="F161" s="77">
        <f>'Worksheet - General Fund (010)'!I311</f>
        <v>14799.816363636364</v>
      </c>
      <c r="G161" s="77">
        <f>'Worksheet - General Fund (010)'!J311</f>
        <v>13158</v>
      </c>
    </row>
    <row r="162" spans="1:7">
      <c r="A162" s="95" t="s">
        <v>24</v>
      </c>
      <c r="B162" s="77">
        <v>0</v>
      </c>
      <c r="C162" s="77">
        <f>'Worksheet - General Fund (010)'!F315</f>
        <v>6000</v>
      </c>
      <c r="D162" s="77">
        <f>'Worksheet - General Fund (010)'!G315</f>
        <v>0</v>
      </c>
      <c r="E162" s="77">
        <f>'Worksheet - General Fund (010)'!H315</f>
        <v>4538.96</v>
      </c>
      <c r="F162" s="77">
        <f>'Worksheet - General Fund (010)'!I315</f>
        <v>0</v>
      </c>
      <c r="G162" s="77">
        <f>'Worksheet - General Fund (010)'!J315</f>
        <v>0</v>
      </c>
    </row>
    <row r="163" spans="1:7">
      <c r="A163" s="95" t="s">
        <v>30</v>
      </c>
      <c r="B163" s="77">
        <v>21790</v>
      </c>
      <c r="C163" s="77">
        <f>'Worksheet - General Fund (010)'!F319</f>
        <v>26345</v>
      </c>
      <c r="D163" s="77">
        <f>'Worksheet - General Fund (010)'!G319</f>
        <v>0</v>
      </c>
      <c r="E163" s="77">
        <f>'Worksheet - General Fund (010)'!H319</f>
        <v>0</v>
      </c>
      <c r="F163" s="77">
        <f>'Worksheet - General Fund (010)'!I319</f>
        <v>0</v>
      </c>
      <c r="G163" s="77">
        <f>'Worksheet - General Fund (010)'!J319</f>
        <v>6540</v>
      </c>
    </row>
    <row r="164" spans="1:7" ht="15.75" thickBot="1">
      <c r="A164" s="61" t="s">
        <v>1036</v>
      </c>
      <c r="B164" s="72">
        <f t="shared" ref="B164" si="19">SUM(B157:B163)</f>
        <v>438947.06999999995</v>
      </c>
      <c r="C164" s="72">
        <f>SUM(C157:C163)</f>
        <v>431977</v>
      </c>
      <c r="D164" s="72">
        <f t="shared" ref="D164:G164" si="20">SUM(D157:D163)</f>
        <v>0</v>
      </c>
      <c r="E164" s="72">
        <f t="shared" si="20"/>
        <v>457424.58999999997</v>
      </c>
      <c r="F164" s="72">
        <f t="shared" si="20"/>
        <v>458518.76271409087</v>
      </c>
      <c r="G164" s="72">
        <f t="shared" si="20"/>
        <v>462832.5</v>
      </c>
    </row>
    <row r="165" spans="1:7" ht="15.75" thickTop="1">
      <c r="B165" s="75"/>
      <c r="C165" s="69"/>
      <c r="D165" s="69"/>
      <c r="E165" s="69"/>
      <c r="F165" s="69"/>
    </row>
    <row r="166" spans="1:7">
      <c r="A166" s="61" t="s">
        <v>1034</v>
      </c>
      <c r="B166" s="70" t="s">
        <v>6</v>
      </c>
      <c r="C166" s="69"/>
      <c r="D166" s="69"/>
      <c r="E166" s="69"/>
      <c r="F166" s="69"/>
    </row>
    <row r="167" spans="1:7">
      <c r="A167" s="95" t="s">
        <v>22</v>
      </c>
      <c r="B167" s="69">
        <f>166309.06+36582.38+3054.99+20096.59+0</f>
        <v>226043.02</v>
      </c>
      <c r="C167" s="77">
        <f>'Worksheet - General Fund (010)'!F335</f>
        <v>215156</v>
      </c>
      <c r="D167" s="77">
        <f>'Worksheet - General Fund (010)'!G335</f>
        <v>0</v>
      </c>
      <c r="E167" s="77">
        <f>'Worksheet - General Fund (010)'!H335</f>
        <v>233407.28000000003</v>
      </c>
      <c r="F167" s="77">
        <f>'Worksheet - General Fund (010)'!I335</f>
        <v>242241.589905</v>
      </c>
      <c r="G167" s="77">
        <f>'Worksheet - General Fund (010)'!J335</f>
        <v>246262.5</v>
      </c>
    </row>
    <row r="168" spans="1:7">
      <c r="A168" s="95" t="s">
        <v>199</v>
      </c>
      <c r="B168" s="69">
        <f>3158.08+977.23</f>
        <v>4135.3099999999995</v>
      </c>
      <c r="C168" s="77">
        <f>'Worksheet - General Fund (010)'!F340</f>
        <v>6500</v>
      </c>
      <c r="D168" s="77">
        <f>'Worksheet - General Fund (010)'!G340</f>
        <v>0</v>
      </c>
      <c r="E168" s="77">
        <f>'Worksheet - General Fund (010)'!H340</f>
        <v>4695.88</v>
      </c>
      <c r="F168" s="77">
        <f>'Worksheet - General Fund (010)'!I340</f>
        <v>5122.778181818182</v>
      </c>
      <c r="G168" s="77">
        <f>'Worksheet - General Fund (010)'!J340</f>
        <v>6500</v>
      </c>
    </row>
    <row r="169" spans="1:7">
      <c r="A169" s="95" t="s">
        <v>202</v>
      </c>
      <c r="B169" s="69">
        <f>0+3966.2+927.33+801.19+3963.59</f>
        <v>9658.31</v>
      </c>
      <c r="C169" s="77">
        <f>'Worksheet - General Fund (010)'!F348</f>
        <v>17860</v>
      </c>
      <c r="D169" s="77">
        <f>'Worksheet - General Fund (010)'!G348</f>
        <v>0</v>
      </c>
      <c r="E169" s="77">
        <f>'Worksheet - General Fund (010)'!H348</f>
        <v>14390.21</v>
      </c>
      <c r="F169" s="77">
        <f>'Worksheet - General Fund (010)'!I348</f>
        <v>15698.410909090908</v>
      </c>
      <c r="G169" s="77">
        <f>'Worksheet - General Fund (010)'!J348</f>
        <v>19490</v>
      </c>
    </row>
    <row r="170" spans="1:7">
      <c r="A170" s="95" t="s">
        <v>204</v>
      </c>
      <c r="B170" s="69">
        <f>1466.58+2057.29+1393.118</f>
        <v>4916.9879999999994</v>
      </c>
      <c r="C170" s="77">
        <f>'Worksheet - General Fund (010)'!F354</f>
        <v>4750</v>
      </c>
      <c r="D170" s="77">
        <f>'Worksheet - General Fund (010)'!G354</f>
        <v>0</v>
      </c>
      <c r="E170" s="77">
        <f>'Worksheet - General Fund (010)'!H354</f>
        <v>6379.8</v>
      </c>
      <c r="F170" s="77">
        <f>'Worksheet - General Fund (010)'!I354</f>
        <v>6959.7818181818175</v>
      </c>
      <c r="G170" s="77">
        <f>'Worksheet - General Fund (010)'!J354</f>
        <v>5000</v>
      </c>
    </row>
    <row r="171" spans="1:7">
      <c r="A171" s="95" t="s">
        <v>217</v>
      </c>
      <c r="B171" s="69">
        <f>149.7+1635.77</f>
        <v>1785.47</v>
      </c>
      <c r="C171" s="77">
        <f>'Worksheet - General Fund (010)'!F360</f>
        <v>9200</v>
      </c>
      <c r="D171" s="77">
        <f>'Worksheet - General Fund (010)'!G360</f>
        <v>0</v>
      </c>
      <c r="E171" s="77">
        <f>'Worksheet - General Fund (010)'!H360</f>
        <v>4516.74</v>
      </c>
      <c r="F171" s="77">
        <f>'Worksheet - General Fund (010)'!I360</f>
        <v>4691.1709090909089</v>
      </c>
      <c r="G171" s="77">
        <f>'Worksheet - General Fund (010)'!J360</f>
        <v>6000</v>
      </c>
    </row>
    <row r="172" spans="1:7">
      <c r="A172" s="95" t="s">
        <v>24</v>
      </c>
      <c r="B172" s="69">
        <v>20807</v>
      </c>
      <c r="C172" s="77">
        <f>'Worksheet - General Fund (010)'!F365</f>
        <v>40000</v>
      </c>
      <c r="D172" s="77">
        <f>'Worksheet - General Fund (010)'!G365</f>
        <v>0</v>
      </c>
      <c r="E172" s="77">
        <f>'Worksheet - General Fund (010)'!H365</f>
        <v>3082</v>
      </c>
      <c r="F172" s="77">
        <f>'Worksheet - General Fund (010)'!I365</f>
        <v>35000</v>
      </c>
      <c r="G172" s="77">
        <f>'Worksheet - General Fund (010)'!J365</f>
        <v>0</v>
      </c>
    </row>
    <row r="173" spans="1:7">
      <c r="A173" s="95" t="s">
        <v>30</v>
      </c>
      <c r="B173" s="69">
        <v>0</v>
      </c>
      <c r="C173" s="77">
        <f>'Worksheet - General Fund (010)'!F369</f>
        <v>0</v>
      </c>
      <c r="D173" s="77">
        <f>'Worksheet - General Fund (010)'!G369</f>
        <v>0</v>
      </c>
      <c r="E173" s="77">
        <f>'Worksheet - General Fund (010)'!H369</f>
        <v>0</v>
      </c>
      <c r="F173" s="77">
        <f>'Worksheet - General Fund (010)'!I369</f>
        <v>0</v>
      </c>
      <c r="G173" s="77">
        <f>'Worksheet - General Fund (010)'!J369</f>
        <v>0</v>
      </c>
    </row>
    <row r="174" spans="1:7" ht="15.75" thickBot="1">
      <c r="A174" s="61" t="s">
        <v>1035</v>
      </c>
      <c r="B174" s="72">
        <f t="shared" ref="B174" si="21">SUM(B167:B173)</f>
        <v>267346.098</v>
      </c>
      <c r="C174" s="72">
        <f>SUM(C167:C173)</f>
        <v>293466</v>
      </c>
      <c r="D174" s="72">
        <f t="shared" ref="D174:G174" si="22">SUM(D167:D173)</f>
        <v>0</v>
      </c>
      <c r="E174" s="72">
        <f t="shared" si="22"/>
        <v>266471.91000000003</v>
      </c>
      <c r="F174" s="72">
        <f t="shared" si="22"/>
        <v>309713.73172318179</v>
      </c>
      <c r="G174" s="72">
        <f t="shared" si="22"/>
        <v>283252.5</v>
      </c>
    </row>
    <row r="175" spans="1:7" ht="15.75" thickTop="1">
      <c r="C175" s="69"/>
      <c r="D175" s="69"/>
      <c r="E175" s="69"/>
      <c r="F175" s="69"/>
    </row>
    <row r="176" spans="1:7">
      <c r="A176" s="61" t="s">
        <v>836</v>
      </c>
      <c r="C176" s="69"/>
      <c r="D176" s="69"/>
      <c r="E176" s="69"/>
      <c r="F176" s="69"/>
    </row>
    <row r="177" spans="1:7">
      <c r="A177" s="95" t="s">
        <v>22</v>
      </c>
      <c r="B177" s="69">
        <f>88733.9+11877.62+7696.75</f>
        <v>108308.26999999999</v>
      </c>
      <c r="C177" s="77">
        <f>'Worksheet - General Fund (010)'!F384</f>
        <v>119384</v>
      </c>
      <c r="D177" s="77">
        <f>'Worksheet - General Fund (010)'!G384</f>
        <v>0</v>
      </c>
      <c r="E177" s="77">
        <f>'Worksheet - General Fund (010)'!H384</f>
        <v>176350.01</v>
      </c>
      <c r="F177" s="77">
        <f>'Worksheet - General Fund (010)'!I384</f>
        <v>175468.13480227272</v>
      </c>
      <c r="G177" s="77">
        <f>'Worksheet - General Fund (010)'!J384</f>
        <v>166857.5</v>
      </c>
    </row>
    <row r="178" spans="1:7">
      <c r="A178" s="95" t="s">
        <v>199</v>
      </c>
      <c r="B178" s="69">
        <f>406.25+0</f>
        <v>406.25</v>
      </c>
      <c r="C178" s="77">
        <f>'Worksheet - General Fund (010)'!F389</f>
        <v>2500</v>
      </c>
      <c r="D178" s="77">
        <f>'Worksheet - General Fund (010)'!G389</f>
        <v>0</v>
      </c>
      <c r="E178" s="77">
        <f>'Worksheet - General Fund (010)'!H389</f>
        <v>1843.66</v>
      </c>
      <c r="F178" s="77">
        <f>'Worksheet - General Fund (010)'!I389</f>
        <v>2011.2654545454548</v>
      </c>
      <c r="G178" s="77">
        <f>'Worksheet - General Fund (010)'!J389</f>
        <v>2500</v>
      </c>
    </row>
    <row r="179" spans="1:7">
      <c r="A179" s="95" t="s">
        <v>202</v>
      </c>
      <c r="B179" s="69">
        <f>801.24+2398.94+0</f>
        <v>3200.1800000000003</v>
      </c>
      <c r="C179" s="77">
        <f>'Worksheet - General Fund (010)'!F395</f>
        <v>14660</v>
      </c>
      <c r="D179" s="77">
        <f>'Worksheet - General Fund (010)'!G395</f>
        <v>0</v>
      </c>
      <c r="E179" s="77">
        <f>'Worksheet - General Fund (010)'!H395</f>
        <v>6883.8</v>
      </c>
      <c r="F179" s="77">
        <f>'Worksheet - General Fund (010)'!I395</f>
        <v>7509.6</v>
      </c>
      <c r="G179" s="77">
        <f>'Worksheet - General Fund (010)'!J395</f>
        <v>8290</v>
      </c>
    </row>
    <row r="180" spans="1:7">
      <c r="A180" s="95" t="s">
        <v>204</v>
      </c>
      <c r="B180" s="69">
        <f>609.3+0</f>
        <v>609.29999999999995</v>
      </c>
      <c r="C180" s="77">
        <f>'Worksheet - General Fund (010)'!F400</f>
        <v>1250</v>
      </c>
      <c r="D180" s="77">
        <f>'Worksheet - General Fund (010)'!G400</f>
        <v>0</v>
      </c>
      <c r="E180" s="77">
        <f>'Worksheet - General Fund (010)'!H400</f>
        <v>975.48</v>
      </c>
      <c r="F180" s="77">
        <f>'Worksheet - General Fund (010)'!I400</f>
        <v>1064.1600000000001</v>
      </c>
      <c r="G180" s="77">
        <f>'Worksheet - General Fund (010)'!J400</f>
        <v>1150</v>
      </c>
    </row>
    <row r="181" spans="1:7">
      <c r="A181" s="95" t="s">
        <v>24</v>
      </c>
      <c r="B181" s="69">
        <v>0</v>
      </c>
      <c r="C181" s="77">
        <f>'Worksheet - General Fund (010)'!F404</f>
        <v>0</v>
      </c>
      <c r="D181" s="77">
        <f>'Worksheet - General Fund (010)'!G404</f>
        <v>0</v>
      </c>
      <c r="E181" s="77">
        <f>'Worksheet - General Fund (010)'!H404</f>
        <v>0</v>
      </c>
      <c r="F181" s="77">
        <f>'Worksheet - General Fund (010)'!I404</f>
        <v>0</v>
      </c>
      <c r="G181" s="77">
        <f>'Worksheet - General Fund (010)'!J404</f>
        <v>0</v>
      </c>
    </row>
    <row r="182" spans="1:7">
      <c r="A182" s="95" t="s">
        <v>30</v>
      </c>
      <c r="B182" s="69">
        <v>0</v>
      </c>
      <c r="C182" s="77">
        <f>'Worksheet - General Fund (010)'!F408</f>
        <v>0</v>
      </c>
      <c r="D182" s="77">
        <f>'Worksheet - General Fund (010)'!G408</f>
        <v>0</v>
      </c>
      <c r="E182" s="77">
        <f>'Worksheet - General Fund (010)'!H408</f>
        <v>0</v>
      </c>
      <c r="F182" s="77">
        <f>'Worksheet - General Fund (010)'!I408</f>
        <v>0</v>
      </c>
      <c r="G182" s="77">
        <f>'Worksheet - General Fund (010)'!J408</f>
        <v>0</v>
      </c>
    </row>
    <row r="183" spans="1:7" ht="15.75" thickBot="1">
      <c r="A183" s="61" t="s">
        <v>977</v>
      </c>
      <c r="B183" s="72">
        <f t="shared" ref="B183" si="23">SUM(B177:B182)</f>
        <v>112523.99999999999</v>
      </c>
      <c r="C183" s="72">
        <f>SUM(C177:C182)</f>
        <v>137794</v>
      </c>
      <c r="D183" s="72">
        <f t="shared" ref="D183:G183" si="24">SUM(D177:D182)</f>
        <v>0</v>
      </c>
      <c r="E183" s="72">
        <f t="shared" si="24"/>
        <v>186052.95</v>
      </c>
      <c r="F183" s="72">
        <f t="shared" si="24"/>
        <v>186053.16025681817</v>
      </c>
      <c r="G183" s="72">
        <f t="shared" si="24"/>
        <v>178797.5</v>
      </c>
    </row>
    <row r="184" spans="1:7" ht="15.75" thickTop="1">
      <c r="B184" s="69"/>
      <c r="C184" s="69"/>
      <c r="D184" s="69"/>
      <c r="E184" s="69"/>
      <c r="F184" s="69"/>
    </row>
    <row r="185" spans="1:7">
      <c r="A185" s="61" t="s">
        <v>1037</v>
      </c>
      <c r="B185" s="69" t="s">
        <v>6</v>
      </c>
      <c r="C185" s="69" t="s">
        <v>6</v>
      </c>
      <c r="D185" s="69" t="s">
        <v>6</v>
      </c>
      <c r="E185" s="69" t="s">
        <v>6</v>
      </c>
      <c r="F185" s="69" t="s">
        <v>6</v>
      </c>
    </row>
    <row r="186" spans="1:7">
      <c r="A186" s="93" t="s">
        <v>22</v>
      </c>
      <c r="B186" s="69">
        <f>9090+20960.61+2269.59+1013.62+0</f>
        <v>33333.82</v>
      </c>
      <c r="C186" s="69">
        <f>'Worksheet - General Fund (010)'!F425</f>
        <v>12822</v>
      </c>
      <c r="D186" s="69">
        <f>'Worksheet - General Fund (010)'!G425</f>
        <v>0</v>
      </c>
      <c r="E186" s="69">
        <f>'Worksheet - General Fund (010)'!H425</f>
        <v>53430.34</v>
      </c>
      <c r="F186" s="69">
        <f>'Worksheet - General Fund (010)'!I425</f>
        <v>57180.731249090903</v>
      </c>
      <c r="G186" s="69">
        <f>'Worksheet - General Fund (010)'!J425</f>
        <v>54865.520000000004</v>
      </c>
    </row>
    <row r="187" spans="1:7">
      <c r="A187" s="93" t="s">
        <v>199</v>
      </c>
      <c r="B187" s="69">
        <f>1232.19+729.48</f>
        <v>1961.67</v>
      </c>
      <c r="C187" s="69">
        <f>'Worksheet - General Fund (010)'!F430</f>
        <v>6500</v>
      </c>
      <c r="D187" s="69">
        <f>'Worksheet - General Fund (010)'!G430</f>
        <v>0</v>
      </c>
      <c r="E187" s="69">
        <f>'Worksheet - General Fund (010)'!H430</f>
        <v>6365.674</v>
      </c>
      <c r="F187" s="69">
        <f>'Worksheet - General Fund (010)'!I430</f>
        <v>6944.3716363636368</v>
      </c>
      <c r="G187" s="69">
        <f>'Worksheet - General Fund (010)'!J430</f>
        <v>6000</v>
      </c>
    </row>
    <row r="188" spans="1:7">
      <c r="A188" s="95" t="s">
        <v>202</v>
      </c>
      <c r="B188" s="69">
        <f>937.66+8851.5+898.84+1290.85+4582.1+17344.61+325.98</f>
        <v>34231.54</v>
      </c>
      <c r="C188" s="77">
        <f>'Worksheet - General Fund (010)'!F441</f>
        <v>35800</v>
      </c>
      <c r="D188" s="77">
        <f>'Worksheet - General Fund (010)'!G441</f>
        <v>0</v>
      </c>
      <c r="E188" s="77">
        <f>'Worksheet - General Fund (010)'!H441</f>
        <v>37004.549999999996</v>
      </c>
      <c r="F188" s="77">
        <f>'Worksheet - General Fund (010)'!I441</f>
        <v>40368.600000000006</v>
      </c>
      <c r="G188" s="77">
        <f>'Worksheet - General Fund (010)'!J441</f>
        <v>37300</v>
      </c>
    </row>
    <row r="189" spans="1:7">
      <c r="A189" s="95" t="s">
        <v>204</v>
      </c>
      <c r="B189" s="70">
        <f>406.21+16971.54+4536.52+356.9</f>
        <v>22271.170000000002</v>
      </c>
      <c r="C189" s="77">
        <f>'Worksheet - General Fund (010)'!F448</f>
        <v>27500</v>
      </c>
      <c r="D189" s="77">
        <f>'Worksheet - General Fund (010)'!G448</f>
        <v>0</v>
      </c>
      <c r="E189" s="77">
        <f>'Worksheet - General Fund (010)'!H448</f>
        <v>30087.399999999998</v>
      </c>
      <c r="F189" s="77">
        <f>'Worksheet - General Fund (010)'!I448</f>
        <v>32822.618181818179</v>
      </c>
      <c r="G189" s="77">
        <f>'Worksheet - General Fund (010)'!J448</f>
        <v>27500</v>
      </c>
    </row>
    <row r="190" spans="1:7">
      <c r="A190" s="95" t="s">
        <v>356</v>
      </c>
      <c r="B190" s="76">
        <v>6166.5</v>
      </c>
      <c r="C190" s="77">
        <f>'Worksheet - General Fund (010)'!F452</f>
        <v>10000</v>
      </c>
      <c r="D190" s="77">
        <f>'Worksheet - General Fund (010)'!G452</f>
        <v>0</v>
      </c>
      <c r="E190" s="77">
        <f>'Worksheet - General Fund (010)'!H452</f>
        <v>8973.66</v>
      </c>
      <c r="F190" s="77">
        <f>'Worksheet - General Fund (010)'!I452</f>
        <v>9789.4472727272732</v>
      </c>
      <c r="G190" s="77">
        <f>'Worksheet - General Fund (010)'!J452</f>
        <v>10000</v>
      </c>
    </row>
    <row r="191" spans="1:7">
      <c r="A191" s="95" t="s">
        <v>217</v>
      </c>
      <c r="B191" s="69">
        <v>9628.4599999999991</v>
      </c>
      <c r="C191" s="77">
        <f>'Worksheet - General Fund (010)'!F456</f>
        <v>6000</v>
      </c>
      <c r="D191" s="77">
        <f>'Worksheet - General Fund (010)'!G456</f>
        <v>0</v>
      </c>
      <c r="E191" s="77">
        <f>'Worksheet - General Fund (010)'!H456</f>
        <v>11940.98</v>
      </c>
      <c r="F191" s="77">
        <f>'Worksheet - General Fund (010)'!I456</f>
        <v>13026.523636363636</v>
      </c>
      <c r="G191" s="77">
        <f>'Worksheet - General Fund (010)'!J456</f>
        <v>10000</v>
      </c>
    </row>
    <row r="192" spans="1:7">
      <c r="A192" s="95" t="s">
        <v>23</v>
      </c>
      <c r="B192" s="76">
        <v>0</v>
      </c>
      <c r="C192" s="77">
        <f>'Worksheet - General Fund (010)'!F462</f>
        <v>127000</v>
      </c>
      <c r="D192" s="77">
        <f>'Worksheet - General Fund (010)'!G462</f>
        <v>0</v>
      </c>
      <c r="E192" s="77">
        <f>'Worksheet - General Fund (010)'!H462</f>
        <v>0</v>
      </c>
      <c r="F192" s="77">
        <f>'Worksheet - General Fund (010)'!I462</f>
        <v>0</v>
      </c>
      <c r="G192" s="77">
        <f>'Worksheet - General Fund (010)'!J462</f>
        <v>232416.01</v>
      </c>
    </row>
    <row r="193" spans="1:8">
      <c r="A193" s="95" t="s">
        <v>30</v>
      </c>
      <c r="B193" s="69">
        <v>0</v>
      </c>
      <c r="C193" s="77">
        <f>'Worksheet - General Fund (010)'!F466</f>
        <v>0</v>
      </c>
      <c r="D193" s="77">
        <f>'Worksheet - General Fund (010)'!G466</f>
        <v>0</v>
      </c>
      <c r="E193" s="77">
        <f>'Worksheet - General Fund (010)'!H466</f>
        <v>0</v>
      </c>
      <c r="F193" s="77">
        <f>'Worksheet - General Fund (010)'!I466</f>
        <v>0</v>
      </c>
      <c r="G193" s="77">
        <f>'Worksheet - General Fund (010)'!J466</f>
        <v>0</v>
      </c>
      <c r="H193" s="55"/>
    </row>
    <row r="194" spans="1:8" ht="15.75" thickBot="1">
      <c r="A194" s="61" t="s">
        <v>1038</v>
      </c>
      <c r="B194" s="72">
        <f>SUM(B186:B193)</f>
        <v>107593.16</v>
      </c>
      <c r="C194" s="72">
        <f>SUM(C186:C193)</f>
        <v>225622</v>
      </c>
      <c r="D194" s="72">
        <f t="shared" ref="D194:G194" si="25">SUM(D186:D193)</f>
        <v>0</v>
      </c>
      <c r="E194" s="72">
        <f t="shared" si="25"/>
        <v>147802.60399999999</v>
      </c>
      <c r="F194" s="72">
        <f t="shared" si="25"/>
        <v>160132.29197636363</v>
      </c>
      <c r="G194" s="72">
        <f t="shared" si="25"/>
        <v>378081.53</v>
      </c>
    </row>
    <row r="195" spans="1:8" ht="15.75" thickTop="1">
      <c r="A195" s="61"/>
      <c r="B195" s="76"/>
      <c r="C195" s="75"/>
      <c r="D195" s="75"/>
      <c r="E195" s="75"/>
      <c r="F195" s="75"/>
    </row>
    <row r="196" spans="1:8">
      <c r="A196" s="61" t="s">
        <v>838</v>
      </c>
      <c r="B196" s="69" t="s">
        <v>6</v>
      </c>
      <c r="C196" s="69" t="s">
        <v>6</v>
      </c>
      <c r="D196" s="69" t="s">
        <v>6</v>
      </c>
      <c r="E196" s="69" t="s">
        <v>6</v>
      </c>
      <c r="F196" s="69" t="s">
        <v>6</v>
      </c>
    </row>
    <row r="197" spans="1:8">
      <c r="A197" s="93" t="s">
        <v>22</v>
      </c>
      <c r="B197" s="69">
        <v>172171</v>
      </c>
      <c r="C197" s="69">
        <f>'Worksheet - General Fund (010)'!F481</f>
        <v>183543.25</v>
      </c>
      <c r="D197" s="69">
        <f>'Worksheet - General Fund (010)'!G481</f>
        <v>0</v>
      </c>
      <c r="E197" s="69">
        <f>'Worksheet - General Fund (010)'!H481</f>
        <v>193222.18</v>
      </c>
      <c r="F197" s="69">
        <f>'Worksheet - General Fund (010)'!I481</f>
        <v>188427.35798681816</v>
      </c>
      <c r="G197" s="69">
        <f>'Worksheet - General Fund (010)'!J481</f>
        <v>179775.5</v>
      </c>
    </row>
    <row r="198" spans="1:8">
      <c r="A198" s="93" t="s">
        <v>199</v>
      </c>
      <c r="B198" s="69">
        <v>3612</v>
      </c>
      <c r="C198" s="69">
        <f>'Worksheet - General Fund (010)'!F485</f>
        <v>4000</v>
      </c>
      <c r="D198" s="69">
        <f>'Worksheet - General Fund (010)'!G485</f>
        <v>0</v>
      </c>
      <c r="E198" s="69">
        <f>'Worksheet - General Fund (010)'!H485</f>
        <v>4354.59</v>
      </c>
      <c r="F198" s="69">
        <f>'Worksheet - General Fund (010)'!I485</f>
        <v>4750.4618181818187</v>
      </c>
      <c r="G198" s="69">
        <f>'Worksheet - General Fund (010)'!J485</f>
        <v>3000</v>
      </c>
    </row>
    <row r="199" spans="1:8">
      <c r="A199" s="95" t="s">
        <v>202</v>
      </c>
      <c r="B199" s="69">
        <v>37042</v>
      </c>
      <c r="C199" s="77">
        <f>'Worksheet - General Fund (010)'!F493</f>
        <v>49230</v>
      </c>
      <c r="D199" s="77">
        <f>'Worksheet - General Fund (010)'!G493</f>
        <v>0</v>
      </c>
      <c r="E199" s="77">
        <f>'Worksheet - General Fund (010)'!H493</f>
        <v>40206.36</v>
      </c>
      <c r="F199" s="77">
        <f>'Worksheet - General Fund (010)'!I493</f>
        <v>43736.029090909098</v>
      </c>
      <c r="G199" s="77">
        <f>'Worksheet - General Fund (010)'!J493</f>
        <v>38800</v>
      </c>
    </row>
    <row r="200" spans="1:8">
      <c r="A200" s="95" t="s">
        <v>204</v>
      </c>
      <c r="B200" s="163">
        <v>66340</v>
      </c>
      <c r="C200" s="77">
        <f>'Worksheet - General Fund (010)'!F502</f>
        <v>54000</v>
      </c>
      <c r="D200" s="77">
        <f>'Worksheet - General Fund (010)'!G502</f>
        <v>0</v>
      </c>
      <c r="E200" s="77">
        <f>'Worksheet - General Fund (010)'!H502</f>
        <v>58134.600000000006</v>
      </c>
      <c r="F200" s="77">
        <f>'Worksheet - General Fund (010)'!I502</f>
        <v>63419.563636363629</v>
      </c>
      <c r="G200" s="77">
        <f>'Worksheet - General Fund (010)'!J502</f>
        <v>53000</v>
      </c>
    </row>
    <row r="201" spans="1:8">
      <c r="A201" s="95" t="s">
        <v>217</v>
      </c>
      <c r="B201" s="77">
        <v>19928</v>
      </c>
      <c r="C201" s="77">
        <f>'Worksheet - General Fund (010)'!F510</f>
        <v>28900</v>
      </c>
      <c r="D201" s="77">
        <f>'Worksheet - General Fund (010)'!G510</f>
        <v>0</v>
      </c>
      <c r="E201" s="77">
        <f>'Worksheet - General Fund (010)'!H510</f>
        <v>80322.510000000009</v>
      </c>
      <c r="F201" s="77">
        <f>'Worksheet - General Fund (010)'!I510</f>
        <v>87624.556363636351</v>
      </c>
      <c r="G201" s="77">
        <f>'Worksheet - General Fund (010)'!J510</f>
        <v>16900</v>
      </c>
    </row>
    <row r="202" spans="1:8">
      <c r="A202" s="95" t="s">
        <v>23</v>
      </c>
      <c r="B202" s="164">
        <v>0</v>
      </c>
      <c r="C202" s="77">
        <f>'Worksheet - General Fund (010)'!F514</f>
        <v>50000</v>
      </c>
      <c r="D202" s="77">
        <f>'Worksheet - General Fund (010)'!G514</f>
        <v>0</v>
      </c>
      <c r="E202" s="77">
        <f>'Worksheet - General Fund (010)'!H514</f>
        <v>6712.25</v>
      </c>
      <c r="F202" s="77">
        <f>'Worksheet - General Fund (010)'!I514</f>
        <v>1247</v>
      </c>
      <c r="G202" s="77">
        <f>'Worksheet - General Fund (010)'!J514</f>
        <v>0</v>
      </c>
    </row>
    <row r="203" spans="1:8">
      <c r="A203" s="95" t="s">
        <v>30</v>
      </c>
      <c r="B203" s="77">
        <v>30355</v>
      </c>
      <c r="C203" s="77">
        <f>'Worksheet - General Fund (010)'!F518</f>
        <v>0</v>
      </c>
      <c r="D203" s="77">
        <f>'Worksheet - General Fund (010)'!G518</f>
        <v>0</v>
      </c>
      <c r="E203" s="77">
        <f>'Worksheet - General Fund (010)'!H518</f>
        <v>0</v>
      </c>
      <c r="F203" s="77">
        <f>'Worksheet - General Fund (010)'!I518</f>
        <v>0</v>
      </c>
      <c r="G203" s="77">
        <f>'Worksheet - General Fund (010)'!J518</f>
        <v>10694</v>
      </c>
    </row>
    <row r="204" spans="1:8" ht="15.75" thickBot="1">
      <c r="A204" s="61" t="s">
        <v>1039</v>
      </c>
      <c r="B204" s="72">
        <f>SUM(B197:B203)</f>
        <v>329448</v>
      </c>
      <c r="C204" s="72">
        <f>SUM(C197:C203)</f>
        <v>369673.25</v>
      </c>
      <c r="D204" s="72">
        <f t="shared" ref="D204:G204" si="26">SUM(D197:D203)</f>
        <v>0</v>
      </c>
      <c r="E204" s="72">
        <f t="shared" si="26"/>
        <v>382952.49</v>
      </c>
      <c r="F204" s="72">
        <f t="shared" si="26"/>
        <v>389204.96889590909</v>
      </c>
      <c r="G204" s="72">
        <f t="shared" si="26"/>
        <v>302169.5</v>
      </c>
    </row>
    <row r="205" spans="1:8" ht="15.75" thickTop="1">
      <c r="A205" s="61"/>
      <c r="B205" s="76"/>
      <c r="C205" s="75"/>
      <c r="D205" s="75"/>
      <c r="E205" s="75"/>
      <c r="F205" s="75"/>
    </row>
    <row r="206" spans="1:8">
      <c r="A206" s="61" t="s">
        <v>1014</v>
      </c>
      <c r="B206" s="69" t="s">
        <v>6</v>
      </c>
      <c r="C206" s="69" t="s">
        <v>6</v>
      </c>
      <c r="D206" s="69" t="s">
        <v>6</v>
      </c>
      <c r="E206" s="69" t="s">
        <v>6</v>
      </c>
      <c r="F206" s="69" t="s">
        <v>6</v>
      </c>
    </row>
    <row r="207" spans="1:8">
      <c r="A207" s="93" t="s">
        <v>22</v>
      </c>
      <c r="B207" s="69">
        <f>50045.83+3802.63</f>
        <v>53848.46</v>
      </c>
      <c r="C207" s="69">
        <f>'Worksheet - General Fund (010)'!F532</f>
        <v>59034</v>
      </c>
      <c r="D207" s="69">
        <f>'Worksheet - General Fund (010)'!G532</f>
        <v>0</v>
      </c>
      <c r="E207" s="69">
        <f>'Worksheet - General Fund (010)'!H532</f>
        <v>60995.86</v>
      </c>
      <c r="F207" s="69">
        <f>'Worksheet - General Fund (010)'!I532</f>
        <v>58080.759745000003</v>
      </c>
      <c r="G207" s="69">
        <f>'Worksheet - General Fund (010)'!J532</f>
        <v>51672</v>
      </c>
    </row>
    <row r="208" spans="1:8">
      <c r="A208" s="93" t="s">
        <v>202</v>
      </c>
      <c r="B208" s="69">
        <f>5667.32+1463.95</f>
        <v>7131.2699999999995</v>
      </c>
      <c r="C208" s="69">
        <f>'Worksheet - General Fund (010)'!F537</f>
        <v>3500</v>
      </c>
      <c r="D208" s="69">
        <f>'Worksheet - General Fund (010)'!G537</f>
        <v>0</v>
      </c>
      <c r="E208" s="69">
        <f>'Worksheet - General Fund (010)'!H537</f>
        <v>4923.79</v>
      </c>
      <c r="F208" s="69">
        <f>'Worksheet - General Fund (010)'!I537</f>
        <v>5371.4072727272733</v>
      </c>
      <c r="G208" s="69">
        <f>'Worksheet - General Fund (010)'!J537</f>
        <v>4100</v>
      </c>
    </row>
    <row r="209" spans="1:7">
      <c r="A209" s="95" t="s">
        <v>204</v>
      </c>
      <c r="B209" s="69">
        <f>1435.21</f>
        <v>1435.21</v>
      </c>
      <c r="C209" s="77">
        <f>'Worksheet - General Fund (010)'!F541</f>
        <v>2000</v>
      </c>
      <c r="D209" s="77">
        <f>'Worksheet - General Fund (010)'!G541</f>
        <v>0</v>
      </c>
      <c r="E209" s="77">
        <f>'Worksheet - General Fund (010)'!H541</f>
        <v>1164.1600000000001</v>
      </c>
      <c r="F209" s="77">
        <f>'Worksheet - General Fund (010)'!I541</f>
        <v>1269.9927272727273</v>
      </c>
      <c r="G209" s="77">
        <f>'Worksheet - General Fund (010)'!J541</f>
        <v>2000</v>
      </c>
    </row>
    <row r="210" spans="1:7">
      <c r="A210" s="95" t="s">
        <v>217</v>
      </c>
      <c r="B210" s="69">
        <v>4424.38</v>
      </c>
      <c r="C210" s="77">
        <f>'Worksheet - General Fund (010)'!F545</f>
        <v>1500</v>
      </c>
      <c r="D210" s="77">
        <f>'Worksheet - General Fund (010)'!G545</f>
        <v>0</v>
      </c>
      <c r="E210" s="77">
        <f>'Worksheet - General Fund (010)'!H545</f>
        <v>1079.05</v>
      </c>
      <c r="F210" s="77">
        <f>'Worksheet - General Fund (010)'!I545</f>
        <v>1177.1454545454544</v>
      </c>
      <c r="G210" s="77">
        <f>'Worksheet - General Fund (010)'!J545</f>
        <v>1500</v>
      </c>
    </row>
    <row r="211" spans="1:7">
      <c r="A211" s="95" t="s">
        <v>23</v>
      </c>
      <c r="B211" s="76">
        <v>9851</v>
      </c>
      <c r="C211" s="77">
        <f>'Worksheet - General Fund (010)'!F549</f>
        <v>25000</v>
      </c>
      <c r="D211" s="77">
        <f>'Worksheet - General Fund (010)'!G549</f>
        <v>0</v>
      </c>
      <c r="E211" s="77">
        <f>'Worksheet - General Fund (010)'!H549</f>
        <v>21489.759999999998</v>
      </c>
      <c r="F211" s="77">
        <f>'Worksheet - General Fund (010)'!I549</f>
        <v>21439.759999999998</v>
      </c>
      <c r="G211" s="77">
        <f>'Worksheet - General Fund (010)'!J549</f>
        <v>0</v>
      </c>
    </row>
    <row r="212" spans="1:7">
      <c r="A212" s="95" t="s">
        <v>30</v>
      </c>
      <c r="B212" s="77">
        <v>6980</v>
      </c>
      <c r="C212" s="77">
        <f>'Worksheet - General Fund (010)'!F553</f>
        <v>0</v>
      </c>
      <c r="D212" s="77">
        <f>'Worksheet - General Fund (010)'!G553</f>
        <v>0</v>
      </c>
      <c r="E212" s="77">
        <f>'Worksheet - General Fund (010)'!H553</f>
        <v>0</v>
      </c>
      <c r="F212" s="77">
        <f>'Worksheet - General Fund (010)'!I553</f>
        <v>0</v>
      </c>
      <c r="G212" s="77">
        <f>'Worksheet - General Fund (010)'!J553</f>
        <v>0</v>
      </c>
    </row>
    <row r="213" spans="1:7" ht="15.75" thickBot="1">
      <c r="A213" s="61" t="s">
        <v>1040</v>
      </c>
      <c r="B213" s="72">
        <f>SUM(B207:B212)</f>
        <v>83670.319999999992</v>
      </c>
      <c r="C213" s="72">
        <f>SUM(C207:C212)</f>
        <v>91034</v>
      </c>
      <c r="D213" s="72">
        <f t="shared" ref="D213:G213" si="27">SUM(D207:D212)</f>
        <v>0</v>
      </c>
      <c r="E213" s="72">
        <f t="shared" si="27"/>
        <v>89652.62</v>
      </c>
      <c r="F213" s="72">
        <f t="shared" si="27"/>
        <v>87339.065199545454</v>
      </c>
      <c r="G213" s="72">
        <f t="shared" si="27"/>
        <v>59272</v>
      </c>
    </row>
    <row r="214" spans="1:7" ht="15.75" thickTop="1">
      <c r="A214" s="61"/>
      <c r="B214" s="76"/>
      <c r="C214" s="75"/>
      <c r="D214" s="75"/>
      <c r="E214" s="75"/>
      <c r="F214" s="75"/>
    </row>
    <row r="215" spans="1:7">
      <c r="A215" s="61" t="s">
        <v>806</v>
      </c>
      <c r="B215" s="69" t="s">
        <v>6</v>
      </c>
      <c r="C215" s="69" t="s">
        <v>6</v>
      </c>
      <c r="D215" s="69" t="s">
        <v>6</v>
      </c>
      <c r="E215" s="69" t="s">
        <v>6</v>
      </c>
      <c r="F215" s="69" t="s">
        <v>6</v>
      </c>
    </row>
    <row r="216" spans="1:7">
      <c r="A216" s="93" t="s">
        <v>22</v>
      </c>
      <c r="B216" s="69">
        <f>63830.85+4778.61</f>
        <v>68609.459999999992</v>
      </c>
      <c r="C216" s="69">
        <f>'Worksheet - General Fund (010)'!F567</f>
        <v>34259</v>
      </c>
      <c r="D216" s="69">
        <f>'Worksheet - General Fund (010)'!G567</f>
        <v>0</v>
      </c>
      <c r="E216" s="69">
        <f>'Worksheet - General Fund (010)'!H567</f>
        <v>39934.89</v>
      </c>
      <c r="F216" s="69">
        <f>'Worksheet - General Fund (010)'!I567</f>
        <v>39560.606363636361</v>
      </c>
      <c r="G216" s="69">
        <f>'Worksheet - General Fund (010)'!J567</f>
        <v>41439.440000000002</v>
      </c>
    </row>
    <row r="217" spans="1:7">
      <c r="A217" s="93" t="s">
        <v>202</v>
      </c>
      <c r="B217" s="69">
        <v>5621.19</v>
      </c>
      <c r="C217" s="69">
        <f>'Worksheet - General Fund (010)'!F571</f>
        <v>5000</v>
      </c>
      <c r="D217" s="69">
        <f>'Worksheet - General Fund (010)'!G571</f>
        <v>0</v>
      </c>
      <c r="E217" s="69">
        <f>'Worksheet - General Fund (010)'!H571</f>
        <v>2231.7600000000002</v>
      </c>
      <c r="F217" s="69">
        <f>'Worksheet - General Fund (010)'!I571</f>
        <v>2434.647272727273</v>
      </c>
      <c r="G217" s="69">
        <f>'Worksheet - General Fund (010)'!J571</f>
        <v>5250</v>
      </c>
    </row>
    <row r="218" spans="1:7">
      <c r="A218" s="95" t="s">
        <v>204</v>
      </c>
      <c r="B218" s="69">
        <f>0+3487.37+1254.5</f>
        <v>4741.87</v>
      </c>
      <c r="C218" s="77">
        <f>'Worksheet - General Fund (010)'!F578</f>
        <v>8500</v>
      </c>
      <c r="D218" s="77">
        <f>'Worksheet - General Fund (010)'!G578</f>
        <v>0</v>
      </c>
      <c r="E218" s="77">
        <f>'Worksheet - General Fund (010)'!H578</f>
        <v>8587.35</v>
      </c>
      <c r="F218" s="77">
        <f>'Worksheet - General Fund (010)'!I578</f>
        <v>9368.0181818181827</v>
      </c>
      <c r="G218" s="77">
        <f>'Worksheet - General Fund (010)'!J578</f>
        <v>8700</v>
      </c>
    </row>
    <row r="219" spans="1:7">
      <c r="A219" s="95" t="s">
        <v>356</v>
      </c>
      <c r="B219" s="69">
        <f>2830.55</f>
        <v>2830.55</v>
      </c>
      <c r="C219" s="77">
        <f>'Worksheet - General Fund (010)'!F582</f>
        <v>3500</v>
      </c>
      <c r="D219" s="77">
        <f>'Worksheet - General Fund (010)'!G582</f>
        <v>0</v>
      </c>
      <c r="E219" s="77">
        <f>'Worksheet - General Fund (010)'!H582</f>
        <v>2175.31</v>
      </c>
      <c r="F219" s="77">
        <f>'Worksheet - General Fund (010)'!I582</f>
        <v>2373.0654545454545</v>
      </c>
      <c r="G219" s="77">
        <f>'Worksheet - General Fund (010)'!J582</f>
        <v>3000</v>
      </c>
    </row>
    <row r="220" spans="1:7">
      <c r="A220" s="95" t="s">
        <v>423</v>
      </c>
      <c r="B220" s="69">
        <f>731.39+3354+1258.46+1854.1+457.64+311.5+0</f>
        <v>7967.0900000000011</v>
      </c>
      <c r="C220" s="77">
        <f>'Worksheet - General Fund (010)'!F592</f>
        <v>11300</v>
      </c>
      <c r="D220" s="77">
        <f>'Worksheet - General Fund (010)'!G592</f>
        <v>0</v>
      </c>
      <c r="E220" s="77">
        <f>'Worksheet - General Fund (010)'!H592</f>
        <v>11427.349999999999</v>
      </c>
      <c r="F220" s="77">
        <f>'Worksheet - General Fund (010)'!I592</f>
        <v>11427.54</v>
      </c>
      <c r="G220" s="77">
        <f>'Worksheet - General Fund (010)'!J592</f>
        <v>13800</v>
      </c>
    </row>
    <row r="221" spans="1:7">
      <c r="A221" s="95" t="s">
        <v>23</v>
      </c>
      <c r="B221" s="76">
        <v>0</v>
      </c>
      <c r="C221" s="77">
        <f>'Worksheet - General Fund (010)'!F597</f>
        <v>0</v>
      </c>
      <c r="D221" s="77">
        <f>'Worksheet - General Fund (010)'!G597</f>
        <v>0</v>
      </c>
      <c r="E221" s="77">
        <f>'Worksheet - General Fund (010)'!H597</f>
        <v>0</v>
      </c>
      <c r="F221" s="77">
        <f>'Worksheet - General Fund (010)'!I597</f>
        <v>0</v>
      </c>
      <c r="G221" s="77">
        <f>'Worksheet - General Fund (010)'!J597</f>
        <v>0</v>
      </c>
    </row>
    <row r="222" spans="1:7">
      <c r="A222" s="95" t="s">
        <v>30</v>
      </c>
      <c r="B222" s="69">
        <v>6249.81</v>
      </c>
      <c r="C222" s="77">
        <f>'Worksheet - General Fund (010)'!F601</f>
        <v>0</v>
      </c>
      <c r="D222" s="77">
        <f>'Worksheet - General Fund (010)'!G601</f>
        <v>0</v>
      </c>
      <c r="E222" s="77">
        <f>'Worksheet - General Fund (010)'!H601</f>
        <v>0</v>
      </c>
      <c r="F222" s="77">
        <f>'Worksheet - General Fund (010)'!I601</f>
        <v>0</v>
      </c>
      <c r="G222" s="77">
        <f>'Worksheet - General Fund (010)'!J601</f>
        <v>0</v>
      </c>
    </row>
    <row r="223" spans="1:7" ht="15.75" thickBot="1">
      <c r="A223" s="61" t="s">
        <v>1041</v>
      </c>
      <c r="B223" s="72">
        <f>SUM(B216:B222)</f>
        <v>96019.969999999987</v>
      </c>
      <c r="C223" s="72">
        <f>SUM(C216:C222)</f>
        <v>62559</v>
      </c>
      <c r="D223" s="72">
        <f t="shared" ref="D223:G223" si="28">SUM(D216:D222)</f>
        <v>0</v>
      </c>
      <c r="E223" s="72">
        <f t="shared" si="28"/>
        <v>64356.659999999996</v>
      </c>
      <c r="F223" s="72">
        <f t="shared" si="28"/>
        <v>65163.877272727266</v>
      </c>
      <c r="G223" s="72">
        <f t="shared" si="28"/>
        <v>72189.440000000002</v>
      </c>
    </row>
    <row r="224" spans="1:7" ht="15.75" thickTop="1">
      <c r="B224" s="69"/>
    </row>
    <row r="225" spans="1:7">
      <c r="A225" s="61" t="s">
        <v>807</v>
      </c>
      <c r="B225" s="69" t="s">
        <v>6</v>
      </c>
      <c r="C225" s="69" t="s">
        <v>6</v>
      </c>
      <c r="D225" s="69" t="s">
        <v>6</v>
      </c>
      <c r="E225" s="69" t="s">
        <v>6</v>
      </c>
      <c r="F225" s="69" t="s">
        <v>6</v>
      </c>
    </row>
    <row r="226" spans="1:7">
      <c r="A226" s="93" t="s">
        <v>22</v>
      </c>
      <c r="B226" s="69">
        <f>20755.03+1411.72</f>
        <v>22166.75</v>
      </c>
      <c r="C226" s="69">
        <f>'Worksheet - General Fund (010)'!F615</f>
        <v>25836</v>
      </c>
      <c r="D226" s="69">
        <f>'Worksheet - General Fund (010)'!G615</f>
        <v>0</v>
      </c>
      <c r="E226" s="69">
        <f>'Worksheet - General Fund (010)'!H615</f>
        <v>23633.350000000002</v>
      </c>
      <c r="F226" s="69">
        <f>'Worksheet - General Fund (010)'!I615</f>
        <v>23633.350000000002</v>
      </c>
      <c r="G226" s="69">
        <f>'Worksheet - General Fund (010)'!J615</f>
        <v>25836</v>
      </c>
    </row>
    <row r="227" spans="1:7">
      <c r="A227" s="93" t="s">
        <v>202</v>
      </c>
      <c r="B227" s="69">
        <f>5387.37+7819.45+0</f>
        <v>13206.82</v>
      </c>
      <c r="C227" s="69">
        <f>'Worksheet - General Fund (010)'!F621</f>
        <v>11850</v>
      </c>
      <c r="D227" s="69">
        <f>'Worksheet - General Fund (010)'!G621</f>
        <v>0</v>
      </c>
      <c r="E227" s="69">
        <f>'Worksheet - General Fund (010)'!H621</f>
        <v>14140.18</v>
      </c>
      <c r="F227" s="69">
        <f>'Worksheet - General Fund (010)'!I621</f>
        <v>15346.032727272726</v>
      </c>
      <c r="G227" s="69">
        <f>'Worksheet - General Fund (010)'!J621</f>
        <v>11450</v>
      </c>
    </row>
    <row r="228" spans="1:7">
      <c r="A228" s="95" t="s">
        <v>204</v>
      </c>
      <c r="B228" s="69">
        <f>4353.47+1529.82</f>
        <v>5883.29</v>
      </c>
      <c r="C228" s="77">
        <f>'Worksheet - General Fund (010)'!F626</f>
        <v>7000</v>
      </c>
      <c r="D228" s="77">
        <f>'Worksheet - General Fund (010)'!G626</f>
        <v>0</v>
      </c>
      <c r="E228" s="77">
        <f>'Worksheet - General Fund (010)'!H626</f>
        <v>21164.66</v>
      </c>
      <c r="F228" s="77">
        <f>'Worksheet - General Fund (010)'!I626</f>
        <v>21164.66</v>
      </c>
      <c r="G228" s="77">
        <f>'Worksheet - General Fund (010)'!J626</f>
        <v>25000</v>
      </c>
    </row>
    <row r="229" spans="1:7">
      <c r="A229" s="95" t="s">
        <v>217</v>
      </c>
      <c r="B229" s="69">
        <v>775.11</v>
      </c>
      <c r="C229" s="77">
        <f>'Worksheet - General Fund (010)'!F630</f>
        <v>1000</v>
      </c>
      <c r="D229" s="77">
        <f>'Worksheet - General Fund (010)'!G630</f>
        <v>0</v>
      </c>
      <c r="E229" s="77">
        <f>'Worksheet - General Fund (010)'!H630</f>
        <v>672.03</v>
      </c>
      <c r="F229" s="77">
        <f>'Worksheet - General Fund (010)'!I630</f>
        <v>672.03</v>
      </c>
      <c r="G229" s="77">
        <f>'Worksheet - General Fund (010)'!J630</f>
        <v>1000</v>
      </c>
    </row>
    <row r="230" spans="1:7">
      <c r="A230" s="95" t="s">
        <v>23</v>
      </c>
      <c r="B230" s="76">
        <v>0</v>
      </c>
      <c r="C230" s="77">
        <f>'Worksheet - General Fund (010)'!F634</f>
        <v>0</v>
      </c>
      <c r="D230" s="77">
        <f>'Worksheet - General Fund (010)'!G634</f>
        <v>0</v>
      </c>
      <c r="E230" s="77">
        <f>'Worksheet - General Fund (010)'!H634</f>
        <v>0</v>
      </c>
      <c r="F230" s="77">
        <f>'Worksheet - General Fund (010)'!I634</f>
        <v>0</v>
      </c>
      <c r="G230" s="77">
        <f>'Worksheet - General Fund (010)'!J634</f>
        <v>0</v>
      </c>
    </row>
    <row r="231" spans="1:7">
      <c r="A231" s="95" t="s">
        <v>30</v>
      </c>
      <c r="B231" s="69">
        <v>0</v>
      </c>
      <c r="C231" s="77">
        <f>'Worksheet - General Fund (010)'!F638</f>
        <v>0</v>
      </c>
      <c r="D231" s="77">
        <f>'Worksheet - General Fund (010)'!G638</f>
        <v>0</v>
      </c>
      <c r="E231" s="77">
        <f>'Worksheet - General Fund (010)'!H638</f>
        <v>0</v>
      </c>
      <c r="F231" s="77">
        <f>'Worksheet - General Fund (010)'!I638</f>
        <v>0</v>
      </c>
      <c r="G231" s="77">
        <f>'Worksheet - General Fund (010)'!J638</f>
        <v>0</v>
      </c>
    </row>
    <row r="232" spans="1:7" ht="15.75" thickBot="1">
      <c r="A232" s="61" t="s">
        <v>990</v>
      </c>
      <c r="B232" s="72">
        <f>SUM(B226:B231)</f>
        <v>42031.97</v>
      </c>
      <c r="C232" s="72">
        <f>SUM(C226:C231)</f>
        <v>45686</v>
      </c>
      <c r="D232" s="72">
        <f t="shared" ref="D232:G232" si="29">SUM(D226:D231)</f>
        <v>0</v>
      </c>
      <c r="E232" s="72">
        <f t="shared" si="29"/>
        <v>59610.22</v>
      </c>
      <c r="F232" s="72">
        <f t="shared" si="29"/>
        <v>60816.072727272724</v>
      </c>
      <c r="G232" s="72">
        <f t="shared" si="29"/>
        <v>63286</v>
      </c>
    </row>
    <row r="233" spans="1:7" ht="15.75" thickTop="1">
      <c r="A233" s="61"/>
      <c r="B233" s="75"/>
      <c r="C233" s="75"/>
      <c r="D233" s="75"/>
      <c r="E233" s="75"/>
      <c r="F233" s="75"/>
    </row>
    <row r="234" spans="1:7" s="4" customFormat="1">
      <c r="A234" s="61" t="s">
        <v>808</v>
      </c>
      <c r="B234" s="77" t="s">
        <v>6</v>
      </c>
      <c r="C234" s="77" t="s">
        <v>6</v>
      </c>
      <c r="D234" s="77" t="s">
        <v>6</v>
      </c>
      <c r="E234" s="77" t="s">
        <v>6</v>
      </c>
      <c r="F234" s="77" t="s">
        <v>6</v>
      </c>
      <c r="G234" s="84"/>
    </row>
    <row r="235" spans="1:7">
      <c r="A235" s="93" t="s">
        <v>202</v>
      </c>
      <c r="B235" s="69">
        <f>4285.74+23307.51+6671.7+235.48</f>
        <v>34500.43</v>
      </c>
      <c r="C235" s="69">
        <f>'Worksheet - General Fund (010)'!F649</f>
        <v>43500</v>
      </c>
      <c r="D235" s="69">
        <f>'Worksheet - General Fund (010)'!G649</f>
        <v>0</v>
      </c>
      <c r="E235" s="69">
        <f>'Worksheet - General Fund (010)'!H649</f>
        <v>26958.28</v>
      </c>
      <c r="F235" s="69">
        <f>'Worksheet - General Fund (010)'!I649</f>
        <v>29376.305454545458</v>
      </c>
      <c r="G235" s="69">
        <f>'Worksheet - General Fund (010)'!J649</f>
        <v>27360</v>
      </c>
    </row>
    <row r="236" spans="1:7">
      <c r="A236" s="95" t="s">
        <v>204</v>
      </c>
      <c r="B236" s="69">
        <f>381.77</f>
        <v>381.77</v>
      </c>
      <c r="C236" s="77">
        <f>'Worksheet - General Fund (010)'!F653</f>
        <v>3000</v>
      </c>
      <c r="D236" s="77">
        <f>'Worksheet - General Fund (010)'!G653</f>
        <v>0</v>
      </c>
      <c r="E236" s="77">
        <f>'Worksheet - General Fund (010)'!H653</f>
        <v>1445.02</v>
      </c>
      <c r="F236" s="77">
        <f>'Worksheet - General Fund (010)'!I653</f>
        <v>1576.3854545454546</v>
      </c>
      <c r="G236" s="77">
        <f>'Worksheet - General Fund (010)'!J653</f>
        <v>2500</v>
      </c>
    </row>
    <row r="237" spans="1:7">
      <c r="A237" s="95" t="s">
        <v>217</v>
      </c>
      <c r="B237" s="69">
        <v>7086.42</v>
      </c>
      <c r="C237" s="77">
        <f>'Worksheet - General Fund (010)'!F657</f>
        <v>10000</v>
      </c>
      <c r="D237" s="77">
        <f>'Worksheet - General Fund (010)'!G657</f>
        <v>0</v>
      </c>
      <c r="E237" s="77">
        <f>'Worksheet - General Fund (010)'!H657</f>
        <v>7023.07</v>
      </c>
      <c r="F237" s="77">
        <f>'Worksheet - General Fund (010)'!I657</f>
        <v>7661.5309090909086</v>
      </c>
      <c r="G237" s="77">
        <f>'Worksheet - General Fund (010)'!J657</f>
        <v>7000</v>
      </c>
    </row>
    <row r="238" spans="1:7">
      <c r="A238" s="95" t="s">
        <v>23</v>
      </c>
      <c r="B238" s="76">
        <v>0</v>
      </c>
      <c r="C238" s="77">
        <f>'Worksheet - General Fund (010)'!F661</f>
        <v>8000</v>
      </c>
      <c r="D238" s="77">
        <f>'Worksheet - General Fund (010)'!G661</f>
        <v>0</v>
      </c>
      <c r="E238" s="77">
        <f>'Worksheet - General Fund (010)'!H661</f>
        <v>0</v>
      </c>
      <c r="F238" s="77">
        <f>'Worksheet - General Fund (010)'!I661</f>
        <v>0</v>
      </c>
      <c r="G238" s="77">
        <f>'Worksheet - General Fund (010)'!J661</f>
        <v>0</v>
      </c>
    </row>
    <row r="239" spans="1:7" ht="15.75" thickBot="1">
      <c r="A239" s="61" t="s">
        <v>1042</v>
      </c>
      <c r="B239" s="72">
        <f>SUM(B235:B238)</f>
        <v>41968.619999999995</v>
      </c>
      <c r="C239" s="72">
        <f>SUM(C235:C238)</f>
        <v>64500</v>
      </c>
      <c r="D239" s="72">
        <f t="shared" ref="D239:G239" si="30">SUM(D235:D238)</f>
        <v>0</v>
      </c>
      <c r="E239" s="72">
        <f t="shared" si="30"/>
        <v>35426.369999999995</v>
      </c>
      <c r="F239" s="72">
        <f t="shared" si="30"/>
        <v>38614.221818181824</v>
      </c>
      <c r="G239" s="72">
        <f t="shared" si="30"/>
        <v>36860</v>
      </c>
    </row>
    <row r="240" spans="1:7" ht="15.75" thickTop="1">
      <c r="A240" s="61"/>
      <c r="B240" s="75"/>
      <c r="C240" s="75"/>
      <c r="D240" s="75"/>
      <c r="E240" s="75"/>
      <c r="F240" s="75"/>
    </row>
    <row r="241" spans="1:7">
      <c r="A241" s="61" t="s">
        <v>809</v>
      </c>
      <c r="B241" s="69" t="s">
        <v>6</v>
      </c>
      <c r="C241" s="69" t="s">
        <v>6</v>
      </c>
      <c r="D241" s="69" t="s">
        <v>6</v>
      </c>
      <c r="E241" s="69" t="s">
        <v>6</v>
      </c>
      <c r="F241" s="69" t="s">
        <v>6</v>
      </c>
    </row>
    <row r="242" spans="1:7">
      <c r="A242" s="93" t="s">
        <v>22</v>
      </c>
      <c r="B242" s="69">
        <f>5999.7+452.31</f>
        <v>6452.01</v>
      </c>
      <c r="C242" s="69">
        <f>'Worksheet - General Fund (010)'!F675</f>
        <v>6890</v>
      </c>
      <c r="D242" s="69">
        <f>'Worksheet - General Fund (010)'!G675</f>
        <v>0</v>
      </c>
      <c r="E242" s="69">
        <f>'Worksheet - General Fund (010)'!H675</f>
        <v>14626.779999999999</v>
      </c>
      <c r="F242" s="69">
        <f>'Worksheet - General Fund (010)'!I675</f>
        <v>11525.579545000001</v>
      </c>
      <c r="G242" s="69">
        <f>'Worksheet - General Fund (010)'!J675</f>
        <v>6889.6</v>
      </c>
    </row>
    <row r="243" spans="1:7">
      <c r="A243" s="95" t="s">
        <v>202</v>
      </c>
      <c r="B243" s="69">
        <f>1661.43+596.55+1394.86+1975</f>
        <v>5627.84</v>
      </c>
      <c r="C243" s="77">
        <f>'Worksheet - General Fund (010)'!F682</f>
        <v>5350</v>
      </c>
      <c r="D243" s="77">
        <f>'Worksheet - General Fund (010)'!G682</f>
        <v>0</v>
      </c>
      <c r="E243" s="77">
        <f>'Worksheet - General Fund (010)'!H682</f>
        <v>6121.4</v>
      </c>
      <c r="F243" s="77">
        <f>'Worksheet - General Fund (010)'!I682</f>
        <v>6677.8909090909092</v>
      </c>
      <c r="G243" s="77">
        <f>'Worksheet - General Fund (010)'!J682</f>
        <v>7306.1200000000008</v>
      </c>
    </row>
    <row r="244" spans="1:7">
      <c r="A244" s="95" t="s">
        <v>204</v>
      </c>
      <c r="B244" s="69">
        <v>248.93</v>
      </c>
      <c r="C244" s="77">
        <f>'Worksheet - General Fund (010)'!F686</f>
        <v>500</v>
      </c>
      <c r="D244" s="77">
        <f>'Worksheet - General Fund (010)'!G686</f>
        <v>0</v>
      </c>
      <c r="E244" s="77">
        <f>'Worksheet - General Fund (010)'!H686</f>
        <v>1909.97</v>
      </c>
      <c r="F244" s="77">
        <f>'Worksheet - General Fund (010)'!I686</f>
        <v>2083.6036363636363</v>
      </c>
      <c r="G244" s="77">
        <f>'Worksheet - General Fund (010)'!J686</f>
        <v>500</v>
      </c>
    </row>
    <row r="245" spans="1:7">
      <c r="A245" s="95" t="s">
        <v>23</v>
      </c>
      <c r="B245" s="76">
        <v>0</v>
      </c>
      <c r="C245" s="77">
        <f>'Worksheet - General Fund (010)'!F690</f>
        <v>0</v>
      </c>
      <c r="D245" s="77">
        <f>'Worksheet - General Fund (010)'!G690</f>
        <v>0</v>
      </c>
      <c r="E245" s="77">
        <f>'Worksheet - General Fund (010)'!H690</f>
        <v>0</v>
      </c>
      <c r="F245" s="77">
        <f>'Worksheet - General Fund (010)'!I690</f>
        <v>0</v>
      </c>
      <c r="G245" s="77">
        <f>'Worksheet - General Fund (010)'!J690</f>
        <v>0</v>
      </c>
    </row>
    <row r="246" spans="1:7" ht="15.75" thickBot="1">
      <c r="A246" s="61" t="s">
        <v>1043</v>
      </c>
      <c r="B246" s="72">
        <f>SUM(B242:B245)</f>
        <v>12328.78</v>
      </c>
      <c r="C246" s="72">
        <f>SUM(C242:C245)</f>
        <v>12740</v>
      </c>
      <c r="D246" s="72">
        <f t="shared" ref="D246:G246" si="31">SUM(D242:D245)</f>
        <v>0</v>
      </c>
      <c r="E246" s="72">
        <f t="shared" si="31"/>
        <v>22658.15</v>
      </c>
      <c r="F246" s="72">
        <f t="shared" si="31"/>
        <v>20287.074090454546</v>
      </c>
      <c r="G246" s="72">
        <f t="shared" si="31"/>
        <v>14695.720000000001</v>
      </c>
    </row>
    <row r="247" spans="1:7" ht="15.75" thickTop="1">
      <c r="A247" s="61"/>
      <c r="B247" s="75"/>
      <c r="C247" s="75"/>
      <c r="D247" s="75"/>
      <c r="E247" s="75"/>
      <c r="F247" s="75"/>
    </row>
    <row r="248" spans="1:7">
      <c r="A248" s="61" t="s">
        <v>810</v>
      </c>
      <c r="B248" s="69" t="s">
        <v>6</v>
      </c>
      <c r="C248" s="69" t="s">
        <v>6</v>
      </c>
      <c r="D248" s="69" t="s">
        <v>6</v>
      </c>
      <c r="E248" s="69" t="s">
        <v>6</v>
      </c>
      <c r="F248" s="69" t="s">
        <v>6</v>
      </c>
    </row>
    <row r="249" spans="1:7">
      <c r="A249" s="93" t="s">
        <v>22</v>
      </c>
      <c r="B249" s="69">
        <f>64144.1+4907.16</f>
        <v>69051.259999999995</v>
      </c>
      <c r="C249" s="69">
        <f>'Worksheet - General Fund (010)'!F704</f>
        <v>70780</v>
      </c>
      <c r="D249" s="69">
        <f>'Worksheet - General Fund (010)'!G704</f>
        <v>0</v>
      </c>
      <c r="E249" s="69">
        <f>'Worksheet - General Fund (010)'!H704</f>
        <v>73950.36</v>
      </c>
      <c r="F249" s="69">
        <f>'Worksheet - General Fund (010)'!I704</f>
        <v>73877.019325000001</v>
      </c>
      <c r="G249" s="69">
        <f>'Worksheet - General Fund (010)'!J704</f>
        <v>75355</v>
      </c>
    </row>
    <row r="250" spans="1:7">
      <c r="A250" s="93" t="s">
        <v>199</v>
      </c>
      <c r="B250" s="69">
        <v>386.64</v>
      </c>
      <c r="C250" s="69">
        <f>'Worksheet - General Fund (010)'!F708</f>
        <v>1000</v>
      </c>
      <c r="D250" s="69">
        <f>'Worksheet - General Fund (010)'!G708</f>
        <v>0</v>
      </c>
      <c r="E250" s="69">
        <f>'Worksheet - General Fund (010)'!H708</f>
        <v>1329.41</v>
      </c>
      <c r="F250" s="69">
        <f>'Worksheet - General Fund (010)'!I708</f>
        <v>1329.41</v>
      </c>
      <c r="G250" s="69">
        <f>'Worksheet - General Fund (010)'!J708</f>
        <v>1000</v>
      </c>
    </row>
    <row r="251" spans="1:7">
      <c r="A251" s="95" t="s">
        <v>202</v>
      </c>
      <c r="B251" s="69">
        <f>230+2239.22+8182.77+2002.65+404.55+675.84+3352.17+1829.88</f>
        <v>18917.079999999998</v>
      </c>
      <c r="C251" s="77">
        <f>'Worksheet - General Fund (010)'!F719</f>
        <v>27025</v>
      </c>
      <c r="D251" s="77">
        <f>'Worksheet - General Fund (010)'!G719</f>
        <v>0</v>
      </c>
      <c r="E251" s="77">
        <f>'Worksheet - General Fund (010)'!H719</f>
        <v>22405.759999999998</v>
      </c>
      <c r="F251" s="77">
        <f>'Worksheet - General Fund (010)'!I719</f>
        <v>24442.64727272727</v>
      </c>
      <c r="G251" s="77">
        <f>'Worksheet - General Fund (010)'!J719</f>
        <v>22950</v>
      </c>
    </row>
    <row r="252" spans="1:7">
      <c r="A252" s="95" t="s">
        <v>204</v>
      </c>
      <c r="B252" s="69">
        <f>0+3104.85</f>
        <v>3104.85</v>
      </c>
      <c r="C252" s="77">
        <f>'Worksheet - General Fund (010)'!F724</f>
        <v>9370</v>
      </c>
      <c r="D252" s="77">
        <f>'Worksheet - General Fund (010)'!G724</f>
        <v>0</v>
      </c>
      <c r="E252" s="77">
        <f>'Worksheet - General Fund (010)'!H724</f>
        <v>9638.35</v>
      </c>
      <c r="F252" s="77">
        <f>'Worksheet - General Fund (010)'!I724</f>
        <v>10514.563636363637</v>
      </c>
      <c r="G252" s="77">
        <f>'Worksheet - General Fund (010)'!J724</f>
        <v>8000</v>
      </c>
    </row>
    <row r="253" spans="1:7">
      <c r="A253" s="95" t="s">
        <v>423</v>
      </c>
      <c r="B253" s="69">
        <f>9035.72+200</f>
        <v>9235.7199999999993</v>
      </c>
      <c r="C253" s="77">
        <f>'Worksheet - General Fund (010)'!F728</f>
        <v>4000</v>
      </c>
      <c r="D253" s="77">
        <f>'Worksheet - General Fund (010)'!G728</f>
        <v>0</v>
      </c>
      <c r="E253" s="77">
        <f>'Worksheet - General Fund (010)'!H728</f>
        <v>8309.48</v>
      </c>
      <c r="F253" s="77">
        <f>'Worksheet - General Fund (010)'!I728</f>
        <v>8309.48</v>
      </c>
      <c r="G253" s="77">
        <f>'Worksheet - General Fund (010)'!J728</f>
        <v>4000</v>
      </c>
    </row>
    <row r="254" spans="1:7">
      <c r="A254" s="95" t="s">
        <v>23</v>
      </c>
      <c r="B254" s="76">
        <v>0</v>
      </c>
      <c r="C254" s="77">
        <f>'Worksheet - General Fund (010)'!F732</f>
        <v>17000</v>
      </c>
      <c r="D254" s="77">
        <f>'Worksheet - General Fund (010)'!G732</f>
        <v>0</v>
      </c>
      <c r="E254" s="77">
        <f>'Worksheet - General Fund (010)'!H732</f>
        <v>16999</v>
      </c>
      <c r="F254" s="77">
        <f>'Worksheet - General Fund (010)'!I732</f>
        <v>16999</v>
      </c>
      <c r="G254" s="77">
        <f>'Worksheet - General Fund (010)'!J732</f>
        <v>0</v>
      </c>
    </row>
    <row r="255" spans="1:7" ht="15.75" thickBot="1">
      <c r="A255" s="61" t="s">
        <v>1044</v>
      </c>
      <c r="B255" s="72">
        <f>SUM(B249:B254)</f>
        <v>100695.55</v>
      </c>
      <c r="C255" s="72">
        <f>SUM(C249:C254)</f>
        <v>129175</v>
      </c>
      <c r="D255" s="72">
        <f t="shared" ref="D255:G255" si="32">SUM(D249:D254)</f>
        <v>0</v>
      </c>
      <c r="E255" s="72">
        <f t="shared" si="32"/>
        <v>132632.35999999999</v>
      </c>
      <c r="F255" s="72">
        <f t="shared" si="32"/>
        <v>135472.12023409089</v>
      </c>
      <c r="G255" s="72">
        <f t="shared" si="32"/>
        <v>111305</v>
      </c>
    </row>
    <row r="256" spans="1:7" ht="15.75" thickTop="1">
      <c r="A256" s="61"/>
      <c r="B256" s="75"/>
      <c r="C256" s="75"/>
      <c r="D256" s="75"/>
      <c r="E256" s="75"/>
      <c r="F256" s="75"/>
      <c r="G256" s="75"/>
    </row>
    <row r="257" spans="1:11">
      <c r="A257" s="61" t="s">
        <v>854</v>
      </c>
      <c r="B257" s="69" t="s">
        <v>6</v>
      </c>
      <c r="C257" s="69" t="s">
        <v>6</v>
      </c>
      <c r="D257" s="69" t="s">
        <v>6</v>
      </c>
      <c r="E257" s="69" t="s">
        <v>6</v>
      </c>
      <c r="F257" s="69" t="s">
        <v>6</v>
      </c>
    </row>
    <row r="258" spans="1:11">
      <c r="A258" s="93" t="s">
        <v>857</v>
      </c>
      <c r="B258" s="69">
        <v>61488.05</v>
      </c>
      <c r="C258" s="69">
        <f>'Worksheet - General Fund (010)'!F740</f>
        <v>0</v>
      </c>
      <c r="D258" s="69">
        <f>'Worksheet - General Fund (010)'!G740</f>
        <v>0</v>
      </c>
      <c r="E258" s="69">
        <f>'Worksheet - General Fund (010)'!H740</f>
        <v>63025.25</v>
      </c>
      <c r="F258" s="77">
        <f>'Worksheet - General Fund (010)'!I740</f>
        <v>63025</v>
      </c>
      <c r="G258" s="77">
        <v>64600.89</v>
      </c>
    </row>
    <row r="259" spans="1:11">
      <c r="A259" s="95" t="s">
        <v>856</v>
      </c>
      <c r="B259" s="69">
        <v>0</v>
      </c>
      <c r="C259" s="77">
        <f>'Worksheet - General Fund (010)'!F744</f>
        <v>0</v>
      </c>
      <c r="D259" s="77">
        <f>'Worksheet - General Fund (010)'!G744</f>
        <v>0</v>
      </c>
      <c r="E259" s="77">
        <f>'Worksheet - General Fund (010)'!H744</f>
        <v>0</v>
      </c>
      <c r="F259" s="77">
        <f>'Worksheet - General Fund (010)'!I744</f>
        <v>0</v>
      </c>
      <c r="G259" s="77">
        <f>'Worksheet - General Fund (010)'!J744</f>
        <v>0</v>
      </c>
    </row>
    <row r="260" spans="1:11">
      <c r="A260" s="93" t="s">
        <v>858</v>
      </c>
      <c r="B260" s="69">
        <v>5575</v>
      </c>
      <c r="C260" s="69">
        <f>'Worksheet - General Fund (010)'!F748</f>
        <v>0</v>
      </c>
      <c r="D260" s="69">
        <f>'Worksheet - General Fund (010)'!G748</f>
        <v>0</v>
      </c>
      <c r="E260" s="69">
        <v>0</v>
      </c>
      <c r="F260" s="69">
        <v>0</v>
      </c>
      <c r="G260" s="69">
        <f>'Worksheet - General Fund (010)'!J748</f>
        <v>0</v>
      </c>
    </row>
    <row r="261" spans="1:11" ht="15.75" thickBot="1">
      <c r="A261" s="61" t="s">
        <v>1045</v>
      </c>
      <c r="B261" s="72">
        <f>SUM(B258:B260)</f>
        <v>67063.05</v>
      </c>
      <c r="C261" s="72">
        <f t="shared" ref="C261:G261" si="33">SUM(C258:C260)</f>
        <v>0</v>
      </c>
      <c r="D261" s="72">
        <f t="shared" si="33"/>
        <v>0</v>
      </c>
      <c r="E261" s="72">
        <f t="shared" si="33"/>
        <v>63025.25</v>
      </c>
      <c r="F261" s="72">
        <f t="shared" si="33"/>
        <v>63025</v>
      </c>
      <c r="G261" s="72">
        <f t="shared" si="33"/>
        <v>64600.89</v>
      </c>
    </row>
    <row r="262" spans="1:11" ht="15.75" thickTop="1">
      <c r="A262" s="61"/>
      <c r="B262" s="75"/>
      <c r="C262" s="75"/>
      <c r="D262" s="75"/>
      <c r="E262" s="75"/>
      <c r="F262" s="75"/>
    </row>
    <row r="263" spans="1:11" s="4" customFormat="1" ht="15.75" thickBot="1">
      <c r="A263" s="108" t="s">
        <v>1094</v>
      </c>
      <c r="B263" s="165">
        <v>0</v>
      </c>
      <c r="C263" s="165">
        <f>SUM(C259:C261)</f>
        <v>0</v>
      </c>
      <c r="D263" s="165">
        <f>SUM(D259:D261)</f>
        <v>0</v>
      </c>
      <c r="E263" s="165">
        <f>'Summary - PS Bldg Fund (040)'!E21</f>
        <v>1021801.1599999999</v>
      </c>
      <c r="F263" s="165">
        <f>'Summary - PS Bldg Fund (040)'!F21</f>
        <v>1106401.19</v>
      </c>
      <c r="G263" s="165">
        <v>0</v>
      </c>
    </row>
    <row r="264" spans="1:11" ht="15.75" thickTop="1">
      <c r="A264" s="61"/>
      <c r="B264" s="75"/>
      <c r="C264" s="75"/>
      <c r="D264" s="75"/>
      <c r="E264" s="75"/>
      <c r="F264" s="75"/>
    </row>
    <row r="265" spans="1:11" ht="15.75" thickBot="1">
      <c r="A265" s="85" t="s">
        <v>870</v>
      </c>
      <c r="B265" s="96">
        <f>B129+B135+B139+B149+B154+B164+B174+B183+B194+B204+B213+B223+B232+B239+B246+B255+B261</f>
        <v>2301179.0479999995</v>
      </c>
      <c r="C265" s="96">
        <f>C129+C135+C139+C149+C154+C164+C174+C183+C194+C204+C213+C223+C232+C239+C246+C255+C261</f>
        <v>2392086.5</v>
      </c>
      <c r="D265" s="96">
        <f>D129+D135+D139+D149+D154+D164+D174+D183+D194+D204+D213+D223+D232+D239+D246+D255+D261</f>
        <v>0</v>
      </c>
      <c r="E265" s="96">
        <f>E129+E135+E139+E149+E154+E164+E174+E183+E194+E204+E213+E223+E232+E239+E246+E255+E261+E263</f>
        <v>3465429.6040000003</v>
      </c>
      <c r="F265" s="96">
        <f t="shared" ref="F265:G265" si="34">F129+F135+F139+F149+F154+F164+F174+F183+F194+F204+F213+F223+F232+F239+F246+F255+F261+F263</f>
        <v>3687311.8505572728</v>
      </c>
      <c r="G265" s="96">
        <f t="shared" si="34"/>
        <v>2631724.9550000005</v>
      </c>
      <c r="K265" s="6"/>
    </row>
    <row r="266" spans="1:11" ht="15.75" thickTop="1">
      <c r="A266" s="85"/>
      <c r="B266" s="75"/>
      <c r="C266" s="75"/>
      <c r="D266" s="75"/>
      <c r="E266" s="75"/>
      <c r="F266" s="75"/>
      <c r="G266" s="86"/>
    </row>
    <row r="267" spans="1:11">
      <c r="A267" s="85"/>
      <c r="B267" s="75"/>
      <c r="C267" s="75"/>
      <c r="D267" s="75"/>
      <c r="E267" s="75"/>
      <c r="F267" s="75"/>
      <c r="G267" s="86"/>
    </row>
    <row r="268" spans="1:11" ht="35.1" customHeight="1" thickBot="1">
      <c r="A268" s="90" t="s">
        <v>867</v>
      </c>
      <c r="B268" s="97">
        <f>B121-B265</f>
        <v>42029.982000000309</v>
      </c>
      <c r="C268" s="97">
        <v>-291556</v>
      </c>
      <c r="D268" s="97">
        <f>D121-D265</f>
        <v>0</v>
      </c>
      <c r="E268" s="97">
        <f>E121-E265</f>
        <v>-395040.26400000043</v>
      </c>
      <c r="F268" s="97">
        <f>F121-F265</f>
        <v>-575032.29692090908</v>
      </c>
      <c r="G268" s="97">
        <f>G121-G265</f>
        <v>-244628.55500000063</v>
      </c>
    </row>
    <row r="269" spans="1:11" ht="15.75" thickTop="1">
      <c r="A269" s="83"/>
      <c r="B269" s="70"/>
      <c r="C269" s="76"/>
      <c r="D269" s="76"/>
      <c r="E269" s="76"/>
      <c r="F269" s="76"/>
    </row>
    <row r="270" spans="1:11">
      <c r="A270" s="87" t="s">
        <v>868</v>
      </c>
      <c r="B270" s="75"/>
      <c r="C270" s="76"/>
      <c r="D270" s="76"/>
      <c r="E270" s="76"/>
      <c r="F270" s="76"/>
    </row>
    <row r="271" spans="1:11">
      <c r="A271" s="95" t="s">
        <v>3</v>
      </c>
      <c r="B271" s="69">
        <v>0</v>
      </c>
      <c r="C271" s="69">
        <v>0</v>
      </c>
      <c r="D271" s="69">
        <v>0</v>
      </c>
      <c r="E271" s="69">
        <v>0</v>
      </c>
      <c r="F271" s="69">
        <v>0</v>
      </c>
      <c r="G271" s="69">
        <v>0</v>
      </c>
    </row>
    <row r="272" spans="1:11">
      <c r="A272" s="95" t="s">
        <v>4</v>
      </c>
      <c r="B272" s="47">
        <v>0</v>
      </c>
      <c r="C272" s="69">
        <v>0</v>
      </c>
      <c r="D272" s="69">
        <v>0</v>
      </c>
      <c r="E272" s="69">
        <v>0</v>
      </c>
      <c r="F272" s="69">
        <v>0</v>
      </c>
      <c r="G272" s="69">
        <v>100000</v>
      </c>
    </row>
    <row r="273" spans="1:11">
      <c r="A273" s="95" t="s">
        <v>502</v>
      </c>
      <c r="B273" s="69">
        <v>75000</v>
      </c>
      <c r="C273" s="69">
        <v>41856</v>
      </c>
      <c r="D273" s="69">
        <f>'Summary - Sewer Fund'!D31*-1</f>
        <v>0</v>
      </c>
      <c r="E273" s="69">
        <v>0</v>
      </c>
      <c r="F273" s="69">
        <v>0</v>
      </c>
      <c r="G273" s="69">
        <v>0</v>
      </c>
    </row>
    <row r="274" spans="1:11">
      <c r="A274" s="95" t="s">
        <v>503</v>
      </c>
      <c r="B274" s="69">
        <v>250000</v>
      </c>
      <c r="C274" s="69">
        <v>52400</v>
      </c>
      <c r="D274" s="69">
        <v>0</v>
      </c>
      <c r="E274" s="69">
        <v>0</v>
      </c>
      <c r="F274" s="69">
        <v>0</v>
      </c>
      <c r="G274" s="69">
        <v>0</v>
      </c>
    </row>
    <row r="275" spans="1:11">
      <c r="A275" s="95" t="s">
        <v>504</v>
      </c>
      <c r="B275" s="69">
        <v>311488.05</v>
      </c>
      <c r="C275" s="69">
        <v>63613</v>
      </c>
      <c r="D275" s="69">
        <f>'Summary - Water Fund'!D34*-1</f>
        <v>0</v>
      </c>
      <c r="E275" s="69">
        <v>0</v>
      </c>
      <c r="F275" s="69">
        <v>0</v>
      </c>
      <c r="G275" s="69">
        <v>0</v>
      </c>
    </row>
    <row r="276" spans="1:11">
      <c r="A276" s="95" t="s">
        <v>817</v>
      </c>
      <c r="B276" s="69">
        <v>1209</v>
      </c>
      <c r="C276" s="69">
        <v>23878</v>
      </c>
      <c r="D276" s="69">
        <f>('Summary - Cap Impr Fund'!C23)*-1</f>
        <v>0</v>
      </c>
      <c r="E276" s="69">
        <v>0</v>
      </c>
      <c r="F276" s="69">
        <v>0</v>
      </c>
      <c r="G276" s="69">
        <v>0</v>
      </c>
    </row>
    <row r="277" spans="1:11">
      <c r="A277" s="95" t="s">
        <v>818</v>
      </c>
      <c r="B277" s="69">
        <v>0</v>
      </c>
      <c r="C277" s="69">
        <v>10000</v>
      </c>
      <c r="D277" s="69">
        <f>'Summary - Cons Trust Fund'!D24</f>
        <v>0</v>
      </c>
      <c r="E277" s="69">
        <f>'[1]Summary - CTF'!E31</f>
        <v>0</v>
      </c>
      <c r="F277" s="69">
        <v>0</v>
      </c>
      <c r="G277" s="69">
        <v>0</v>
      </c>
    </row>
    <row r="278" spans="1:11" s="4" customFormat="1">
      <c r="A278" s="93" t="s">
        <v>1054</v>
      </c>
      <c r="B278" s="77">
        <v>0</v>
      </c>
      <c r="C278" s="77">
        <v>0</v>
      </c>
      <c r="D278" s="77">
        <v>0</v>
      </c>
      <c r="E278" s="77">
        <v>0</v>
      </c>
      <c r="F278" s="77">
        <v>0</v>
      </c>
      <c r="G278" s="77">
        <v>0</v>
      </c>
    </row>
    <row r="279" spans="1:11" s="4" customFormat="1">
      <c r="A279" s="93" t="s">
        <v>1055</v>
      </c>
      <c r="B279" s="77">
        <v>0</v>
      </c>
      <c r="C279" s="77">
        <v>0</v>
      </c>
      <c r="D279" s="77">
        <v>0</v>
      </c>
      <c r="E279" s="77">
        <v>0</v>
      </c>
      <c r="F279" s="77">
        <v>0</v>
      </c>
      <c r="G279" s="77">
        <f>74275+50000</f>
        <v>124275</v>
      </c>
      <c r="H279" s="4" t="s">
        <v>1056</v>
      </c>
    </row>
    <row r="280" spans="1:11">
      <c r="A280" s="95" t="s">
        <v>5</v>
      </c>
      <c r="B280" s="69">
        <v>0</v>
      </c>
      <c r="C280" s="69">
        <v>0</v>
      </c>
      <c r="D280" s="69">
        <v>0</v>
      </c>
      <c r="E280" s="69">
        <v>0</v>
      </c>
      <c r="F280" s="69">
        <v>0</v>
      </c>
      <c r="G280" s="69">
        <v>0</v>
      </c>
    </row>
    <row r="281" spans="1:11">
      <c r="A281" s="95" t="s">
        <v>505</v>
      </c>
      <c r="B281" s="69">
        <v>0</v>
      </c>
      <c r="C281" s="69">
        <v>0</v>
      </c>
      <c r="D281" s="69">
        <v>0</v>
      </c>
      <c r="E281" s="69">
        <v>0</v>
      </c>
      <c r="F281" s="69">
        <v>0</v>
      </c>
      <c r="G281" s="69">
        <v>0</v>
      </c>
    </row>
    <row r="282" spans="1:11">
      <c r="A282" s="95" t="s">
        <v>506</v>
      </c>
      <c r="B282" s="69">
        <v>0</v>
      </c>
      <c r="C282" s="69">
        <v>-320000</v>
      </c>
      <c r="D282" s="69">
        <v>0</v>
      </c>
      <c r="E282" s="69">
        <v>0</v>
      </c>
      <c r="F282" s="69">
        <v>0</v>
      </c>
      <c r="G282" s="69">
        <v>0</v>
      </c>
    </row>
    <row r="283" spans="1:11" s="3" customFormat="1" ht="15.75" thickBot="1">
      <c r="A283" s="87" t="s">
        <v>869</v>
      </c>
      <c r="B283" s="72">
        <f t="shared" ref="B283:G283" si="35">SUM(B271:B282)</f>
        <v>637697.05000000005</v>
      </c>
      <c r="C283" s="72">
        <f t="shared" si="35"/>
        <v>-128253</v>
      </c>
      <c r="D283" s="72">
        <f t="shared" si="35"/>
        <v>0</v>
      </c>
      <c r="E283" s="72">
        <f t="shared" si="35"/>
        <v>0</v>
      </c>
      <c r="F283" s="72">
        <f t="shared" si="35"/>
        <v>0</v>
      </c>
      <c r="G283" s="72">
        <f t="shared" si="35"/>
        <v>224275</v>
      </c>
    </row>
    <row r="284" spans="1:11" ht="15.75" thickTop="1">
      <c r="A284" s="83"/>
      <c r="C284" s="76"/>
      <c r="D284" s="76"/>
      <c r="E284" s="76"/>
      <c r="F284" s="76"/>
    </row>
    <row r="285" spans="1:11" ht="50.1" customHeight="1" thickBot="1">
      <c r="A285" s="90" t="s">
        <v>871</v>
      </c>
      <c r="B285" s="96">
        <f t="shared" ref="B285:G285" si="36">B268+B283</f>
        <v>679727.03200000036</v>
      </c>
      <c r="C285" s="96">
        <f t="shared" si="36"/>
        <v>-419809</v>
      </c>
      <c r="D285" s="96">
        <f t="shared" si="36"/>
        <v>0</v>
      </c>
      <c r="E285" s="96">
        <f t="shared" si="36"/>
        <v>-395040.26400000043</v>
      </c>
      <c r="F285" s="96">
        <f t="shared" si="36"/>
        <v>-575032.29692090908</v>
      </c>
      <c r="G285" s="96">
        <f t="shared" si="36"/>
        <v>-20353.555000000633</v>
      </c>
    </row>
    <row r="286" spans="1:11" ht="15.75" thickTop="1">
      <c r="A286" s="83"/>
      <c r="C286" s="76"/>
      <c r="D286" s="76"/>
      <c r="E286" s="76"/>
      <c r="F286" s="76"/>
    </row>
    <row r="287" spans="1:11">
      <c r="A287" s="95" t="s">
        <v>872</v>
      </c>
      <c r="B287" s="69">
        <v>-98671</v>
      </c>
      <c r="C287" s="69">
        <f>B288</f>
        <v>581056.03200000036</v>
      </c>
      <c r="D287" s="69">
        <v>0</v>
      </c>
      <c r="E287" s="69">
        <f>B288</f>
        <v>581056.03200000036</v>
      </c>
      <c r="F287" s="69">
        <f>B288</f>
        <v>581056.03200000036</v>
      </c>
      <c r="G287" s="69">
        <f>E288</f>
        <v>186015.76799999992</v>
      </c>
    </row>
    <row r="288" spans="1:11" ht="15.75" thickBot="1">
      <c r="A288" s="87" t="s">
        <v>873</v>
      </c>
      <c r="B288" s="72">
        <f>B287+B285</f>
        <v>581056.03200000036</v>
      </c>
      <c r="C288" s="72">
        <f t="shared" ref="C288:G288" si="37">C287+C285</f>
        <v>161247.03200000036</v>
      </c>
      <c r="D288" s="72">
        <f t="shared" si="37"/>
        <v>0</v>
      </c>
      <c r="E288" s="72">
        <f t="shared" si="37"/>
        <v>186015.76799999992</v>
      </c>
      <c r="F288" s="72">
        <f t="shared" si="37"/>
        <v>6023.7350790912751</v>
      </c>
      <c r="G288" s="72">
        <f t="shared" si="37"/>
        <v>165662.21299999929</v>
      </c>
      <c r="K288" s="6"/>
    </row>
    <row r="289" spans="1:7" ht="15.75" thickTop="1">
      <c r="A289" s="83"/>
      <c r="C289" s="76"/>
      <c r="D289" s="76"/>
      <c r="E289" s="76"/>
      <c r="F289" s="76"/>
    </row>
    <row r="290" spans="1:7">
      <c r="A290" s="83"/>
      <c r="C290" s="76"/>
      <c r="D290" s="76"/>
      <c r="E290" s="76"/>
      <c r="F290" s="76"/>
    </row>
    <row r="291" spans="1:7">
      <c r="A291" s="83"/>
      <c r="C291" s="76"/>
      <c r="D291" s="76"/>
      <c r="E291" s="76"/>
      <c r="F291" s="76"/>
    </row>
    <row r="292" spans="1:7">
      <c r="A292" s="87" t="s">
        <v>874</v>
      </c>
      <c r="C292" s="76"/>
      <c r="D292" s="76"/>
      <c r="E292" s="76"/>
      <c r="F292" s="76"/>
    </row>
    <row r="293" spans="1:7">
      <c r="A293" s="87"/>
      <c r="C293" s="76"/>
      <c r="D293" s="76"/>
      <c r="E293" s="76"/>
      <c r="F293" s="76"/>
    </row>
    <row r="294" spans="1:7">
      <c r="A294" s="87" t="s">
        <v>875</v>
      </c>
      <c r="C294" s="69" t="s">
        <v>6</v>
      </c>
      <c r="D294" s="69"/>
      <c r="E294" s="69" t="s">
        <v>6</v>
      </c>
      <c r="F294" s="69" t="s">
        <v>6</v>
      </c>
    </row>
    <row r="295" spans="1:7">
      <c r="A295" s="95" t="s">
        <v>13</v>
      </c>
      <c r="B295" s="69">
        <v>69000</v>
      </c>
      <c r="C295" s="69">
        <f>C265*3%</f>
        <v>71762.595000000001</v>
      </c>
      <c r="D295" s="69">
        <f>D265*3%</f>
        <v>0</v>
      </c>
      <c r="E295" s="69">
        <f>E265*3%</f>
        <v>103962.88812</v>
      </c>
      <c r="F295" s="69">
        <v>104393</v>
      </c>
      <c r="G295" s="69">
        <v>80090</v>
      </c>
    </row>
    <row r="296" spans="1:7">
      <c r="A296" s="95" t="s">
        <v>507</v>
      </c>
      <c r="B296" s="69">
        <v>0</v>
      </c>
      <c r="C296" s="69">
        <v>0</v>
      </c>
      <c r="D296" s="69">
        <v>0</v>
      </c>
      <c r="E296" s="69">
        <v>0</v>
      </c>
      <c r="F296" s="69">
        <v>0</v>
      </c>
      <c r="G296" s="69">
        <v>0</v>
      </c>
    </row>
    <row r="297" spans="1:7">
      <c r="A297" s="95" t="s">
        <v>642</v>
      </c>
      <c r="B297" s="68">
        <v>0</v>
      </c>
      <c r="C297" s="69">
        <v>0</v>
      </c>
      <c r="D297" s="69">
        <v>0</v>
      </c>
      <c r="E297" s="69">
        <v>0</v>
      </c>
      <c r="F297" s="69">
        <v>0</v>
      </c>
      <c r="G297" s="69">
        <v>0</v>
      </c>
    </row>
    <row r="298" spans="1:7">
      <c r="A298" s="95" t="s">
        <v>450</v>
      </c>
      <c r="B298" s="69">
        <v>0</v>
      </c>
      <c r="C298" s="69">
        <v>0</v>
      </c>
      <c r="D298" s="69">
        <v>0</v>
      </c>
      <c r="E298" s="69">
        <v>0</v>
      </c>
      <c r="F298" s="69">
        <v>0</v>
      </c>
      <c r="G298" s="69">
        <v>0</v>
      </c>
    </row>
    <row r="299" spans="1:7">
      <c r="A299" s="95" t="s">
        <v>508</v>
      </c>
      <c r="B299" s="69">
        <v>0</v>
      </c>
      <c r="C299" s="69">
        <v>0</v>
      </c>
      <c r="D299" s="69">
        <v>0</v>
      </c>
      <c r="E299" s="69">
        <v>0</v>
      </c>
      <c r="F299" s="69">
        <v>0</v>
      </c>
      <c r="G299" s="69">
        <v>0</v>
      </c>
    </row>
    <row r="300" spans="1:7">
      <c r="A300" s="95" t="s">
        <v>481</v>
      </c>
      <c r="B300" s="69">
        <f>21970.05+3407.49+19062.54</f>
        <v>44440.08</v>
      </c>
      <c r="C300" s="69">
        <v>44342</v>
      </c>
      <c r="D300" s="69">
        <v>0</v>
      </c>
      <c r="E300" s="69">
        <v>0</v>
      </c>
      <c r="F300" s="69">
        <v>0</v>
      </c>
      <c r="G300" s="69">
        <v>0</v>
      </c>
    </row>
    <row r="301" spans="1:7">
      <c r="A301" s="95" t="s">
        <v>8</v>
      </c>
      <c r="B301" s="69">
        <v>0</v>
      </c>
      <c r="C301" s="69">
        <v>0</v>
      </c>
      <c r="D301" s="69">
        <v>0</v>
      </c>
      <c r="E301" s="69">
        <v>0</v>
      </c>
      <c r="F301" s="69">
        <v>0</v>
      </c>
      <c r="G301" s="69">
        <v>0</v>
      </c>
    </row>
    <row r="302" spans="1:7">
      <c r="A302" s="95" t="s">
        <v>509</v>
      </c>
      <c r="B302" s="69">
        <v>165878.75</v>
      </c>
      <c r="C302" s="69">
        <v>0</v>
      </c>
      <c r="D302" s="69">
        <v>0</v>
      </c>
      <c r="E302" s="69">
        <v>112105.21</v>
      </c>
      <c r="F302" s="69">
        <f>(E302/11)*12</f>
        <v>122296.59272727274</v>
      </c>
      <c r="G302" s="69">
        <v>0</v>
      </c>
    </row>
    <row r="303" spans="1:7">
      <c r="A303" s="95" t="s">
        <v>510</v>
      </c>
      <c r="B303" s="69">
        <v>190025.23</v>
      </c>
      <c r="C303" s="69">
        <v>47500</v>
      </c>
      <c r="D303" s="69">
        <v>0</v>
      </c>
      <c r="E303" s="69">
        <v>0</v>
      </c>
      <c r="F303" s="69">
        <v>0</v>
      </c>
      <c r="G303" s="69">
        <v>0</v>
      </c>
    </row>
    <row r="304" spans="1:7">
      <c r="A304" s="95" t="s">
        <v>9</v>
      </c>
      <c r="B304" s="68">
        <v>0</v>
      </c>
      <c r="C304" s="69">
        <v>0</v>
      </c>
      <c r="D304" s="69">
        <v>0</v>
      </c>
      <c r="E304" s="69">
        <v>0</v>
      </c>
      <c r="F304" s="69">
        <v>0</v>
      </c>
      <c r="G304" s="69">
        <v>0</v>
      </c>
    </row>
    <row r="305" spans="1:7" s="3" customFormat="1" ht="15.75" thickBot="1">
      <c r="A305" s="87" t="s">
        <v>876</v>
      </c>
      <c r="B305" s="72">
        <f t="shared" ref="B305:G305" si="38">SUM(B295:B304)</f>
        <v>469344.06000000006</v>
      </c>
      <c r="C305" s="72">
        <f t="shared" si="38"/>
        <v>163604.595</v>
      </c>
      <c r="D305" s="72">
        <f t="shared" si="38"/>
        <v>0</v>
      </c>
      <c r="E305" s="72">
        <f>SUM(E295:E304)</f>
        <v>216068.09812000001</v>
      </c>
      <c r="F305" s="72">
        <f t="shared" si="38"/>
        <v>226689.59272727274</v>
      </c>
      <c r="G305" s="72">
        <f t="shared" si="38"/>
        <v>80090</v>
      </c>
    </row>
    <row r="306" spans="1:7" ht="15.75" thickTop="1">
      <c r="A306" s="83"/>
      <c r="B306" s="70"/>
      <c r="C306" s="70"/>
      <c r="D306" s="70"/>
      <c r="E306" s="70"/>
      <c r="F306" s="70"/>
      <c r="G306" s="70"/>
    </row>
    <row r="307" spans="1:7" ht="15.75" thickBot="1">
      <c r="A307" s="87" t="s">
        <v>877</v>
      </c>
      <c r="B307" s="96">
        <f>B288-B305</f>
        <v>111711.9720000003</v>
      </c>
      <c r="C307" s="96">
        <f>C288-C305</f>
        <v>-2357.5629999996454</v>
      </c>
      <c r="D307" s="96"/>
      <c r="E307" s="96">
        <f>E288-E305</f>
        <v>-30052.330120000086</v>
      </c>
      <c r="F307" s="96">
        <f>F288-F305</f>
        <v>-220665.85764818147</v>
      </c>
      <c r="G307" s="96">
        <f>G288-G305</f>
        <v>85572.21299999929</v>
      </c>
    </row>
    <row r="308" spans="1:7" ht="15.75" thickTop="1">
      <c r="A308" s="83"/>
      <c r="C308" s="83"/>
      <c r="D308" s="83"/>
      <c r="E308" s="83"/>
      <c r="F308" s="83"/>
    </row>
    <row r="309" spans="1:7">
      <c r="A309" s="88" t="s">
        <v>31</v>
      </c>
      <c r="B309" s="89">
        <f>(B307/B121)</f>
        <v>4.7674778720018976E-2</v>
      </c>
      <c r="C309" s="89">
        <f>(C307/C121)</f>
        <v>-1.1223705928194222E-3</v>
      </c>
      <c r="D309" s="89">
        <v>0</v>
      </c>
      <c r="E309" s="89">
        <f>(E307/E121)</f>
        <v>-9.7877913163937989E-3</v>
      </c>
      <c r="F309" s="89">
        <f>(F307/F121)</f>
        <v>-7.0901682784362083E-2</v>
      </c>
      <c r="G309" s="89">
        <f>(G307/G121)</f>
        <v>3.584782457884788E-2</v>
      </c>
    </row>
    <row r="312" spans="1:7">
      <c r="A312" s="61"/>
      <c r="B312" s="75"/>
      <c r="C312" s="75"/>
      <c r="D312" s="75"/>
      <c r="E312" s="75"/>
      <c r="F312" s="75"/>
    </row>
  </sheetData>
  <mergeCells count="2">
    <mergeCell ref="A1:G1"/>
    <mergeCell ref="A2:G2"/>
  </mergeCells>
  <pageMargins left="0.75" right="0.75" top="0.5" bottom="1" header="0.3" footer="0.3"/>
  <pageSetup scale="57" fitToHeight="0" orientation="portrait" r:id="rId1"/>
  <headerFooter>
    <oddFooter>&amp;CGeneral Fund
Page &amp;P</oddFooter>
  </headerFooter>
  <rowBreaks count="4" manualBreakCount="4">
    <brk id="69" max="16383" man="1"/>
    <brk id="121" max="16383" man="1"/>
    <brk id="183" max="16383" man="1"/>
    <brk id="2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6"/>
  <sheetViews>
    <sheetView tabSelected="1" zoomScaleNormal="100" workbookViewId="0">
      <pane ySplit="6" topLeftCell="A7" activePane="bottomLeft" state="frozen"/>
      <selection pane="bottomLeft" activeCell="G13" sqref="G13"/>
    </sheetView>
  </sheetViews>
  <sheetFormatPr defaultRowHeight="15"/>
  <cols>
    <col min="1" max="1" width="41.5703125" style="4" bestFit="1" customWidth="1"/>
    <col min="2" max="3" width="14.28515625" style="1" bestFit="1" customWidth="1"/>
    <col min="4" max="4" width="14.28515625" style="1" customWidth="1"/>
    <col min="5" max="5" width="14.28515625" style="1" bestFit="1" customWidth="1"/>
    <col min="6" max="6" width="13.28515625" style="1" hidden="1" customWidth="1"/>
    <col min="7" max="7" width="14.28515625" style="1" bestFit="1" customWidth="1"/>
    <col min="8" max="8" width="38.140625" bestFit="1" customWidth="1"/>
  </cols>
  <sheetData>
    <row r="1" spans="1:9">
      <c r="A1" s="253" t="s">
        <v>34</v>
      </c>
      <c r="B1" s="253"/>
      <c r="C1" s="253"/>
      <c r="D1" s="253"/>
      <c r="E1" s="253"/>
      <c r="F1" s="253"/>
      <c r="G1" s="253"/>
      <c r="H1" s="129"/>
      <c r="I1" s="129"/>
    </row>
    <row r="2" spans="1:9">
      <c r="A2" s="253" t="s">
        <v>33</v>
      </c>
      <c r="B2" s="253"/>
      <c r="C2" s="253"/>
      <c r="D2" s="253"/>
      <c r="E2" s="253"/>
      <c r="F2" s="253"/>
      <c r="G2" s="253"/>
      <c r="H2" s="129"/>
      <c r="I2" s="129"/>
    </row>
    <row r="3" spans="1:9" ht="7.5" customHeight="1">
      <c r="A3" s="108" t="s">
        <v>6</v>
      </c>
      <c r="B3" s="109" t="s">
        <v>6</v>
      </c>
      <c r="C3" s="109" t="s">
        <v>6</v>
      </c>
      <c r="D3" s="109"/>
      <c r="E3" s="109" t="s">
        <v>6</v>
      </c>
      <c r="F3" s="109" t="s">
        <v>6</v>
      </c>
      <c r="G3" s="109" t="s">
        <v>6</v>
      </c>
      <c r="H3" s="129"/>
      <c r="I3" s="129"/>
    </row>
    <row r="4" spans="1:9">
      <c r="A4" s="61"/>
      <c r="B4" s="63">
        <v>2018</v>
      </c>
      <c r="C4" s="63">
        <v>2019</v>
      </c>
      <c r="D4" s="63">
        <v>2019</v>
      </c>
      <c r="E4" s="51">
        <v>2019</v>
      </c>
      <c r="F4" s="51">
        <v>2019</v>
      </c>
      <c r="G4" s="64" t="s">
        <v>839</v>
      </c>
      <c r="H4" s="129"/>
      <c r="I4" s="129"/>
    </row>
    <row r="5" spans="1:9">
      <c r="A5" s="174" t="s">
        <v>864</v>
      </c>
      <c r="B5" s="66" t="s">
        <v>823</v>
      </c>
      <c r="C5" s="66" t="s">
        <v>862</v>
      </c>
      <c r="D5" s="66" t="s">
        <v>863</v>
      </c>
      <c r="E5" s="66" t="s">
        <v>1147</v>
      </c>
      <c r="F5" s="66" t="s">
        <v>909</v>
      </c>
      <c r="G5" s="67" t="s">
        <v>826</v>
      </c>
      <c r="H5" s="129"/>
      <c r="I5" s="129"/>
    </row>
    <row r="6" spans="1:9">
      <c r="B6" s="109"/>
      <c r="C6" s="109"/>
      <c r="D6" s="109"/>
      <c r="E6" s="109"/>
      <c r="F6" s="109"/>
      <c r="G6" s="109"/>
      <c r="H6" s="129"/>
      <c r="I6" s="129"/>
    </row>
    <row r="7" spans="1:9">
      <c r="A7" s="61" t="s">
        <v>865</v>
      </c>
      <c r="B7" s="109"/>
      <c r="C7" s="109"/>
      <c r="D7" s="109"/>
      <c r="E7" s="109"/>
      <c r="F7" s="109"/>
      <c r="G7" s="109"/>
      <c r="H7" s="129"/>
      <c r="I7" s="129"/>
    </row>
    <row r="8" spans="1:9">
      <c r="A8" s="93" t="s">
        <v>643</v>
      </c>
      <c r="B8" s="110">
        <f>'Worksheet - Cap Impr Fund (030)'!E9</f>
        <v>265000</v>
      </c>
      <c r="C8" s="110">
        <f>'Worksheet - Cap Impr Fund (030)'!E9</f>
        <v>265000</v>
      </c>
      <c r="D8" s="110">
        <f>'Worksheet - Cap Impr Fund (030)'!F9</f>
        <v>0</v>
      </c>
      <c r="E8" s="110">
        <f>'Worksheet - Cap Impr Fund (030)'!G9</f>
        <v>292438.57</v>
      </c>
      <c r="F8" s="110">
        <f>'Worksheet - Cap Impr Fund (030)'!H9</f>
        <v>319023.89454545453</v>
      </c>
      <c r="G8" s="110">
        <f>'Worksheet - Cap Impr Fund (030)'!I9</f>
        <v>300000</v>
      </c>
    </row>
    <row r="9" spans="1:9" ht="15.75" thickBot="1">
      <c r="A9" s="108" t="s">
        <v>1</v>
      </c>
      <c r="B9" s="111">
        <v>291025.01</v>
      </c>
      <c r="C9" s="111">
        <f t="shared" ref="C9:G9" si="0">SUM(C8:C8)</f>
        <v>265000</v>
      </c>
      <c r="D9" s="111">
        <f t="shared" si="0"/>
        <v>0</v>
      </c>
      <c r="E9" s="111">
        <f t="shared" si="0"/>
        <v>292438.57</v>
      </c>
      <c r="F9" s="111">
        <f t="shared" si="0"/>
        <v>319023.89454545453</v>
      </c>
      <c r="G9" s="111">
        <f t="shared" si="0"/>
        <v>300000</v>
      </c>
    </row>
    <row r="10" spans="1:9" ht="15.75" thickTop="1">
      <c r="A10" s="33"/>
      <c r="B10" s="110"/>
      <c r="C10" s="110"/>
      <c r="D10" s="110"/>
      <c r="E10" s="110"/>
      <c r="F10" s="110"/>
      <c r="G10" s="205"/>
    </row>
    <row r="11" spans="1:9">
      <c r="A11" s="108" t="s">
        <v>898</v>
      </c>
      <c r="B11" s="112"/>
      <c r="C11" s="112"/>
      <c r="D11" s="112"/>
      <c r="E11" s="112"/>
      <c r="F11" s="112"/>
      <c r="G11" s="206"/>
    </row>
    <row r="12" spans="1:9">
      <c r="A12" s="93" t="s">
        <v>356</v>
      </c>
      <c r="B12" s="110">
        <f>'Worksheet - Cap Impr Fund (030)'!E21</f>
        <v>0</v>
      </c>
      <c r="C12" s="110">
        <f>'Worksheet - Cap Impr Fund (030)'!E21</f>
        <v>0</v>
      </c>
      <c r="D12" s="110">
        <f>'Worksheet - Cap Impr Fund (030)'!F21</f>
        <v>0</v>
      </c>
      <c r="E12" s="110">
        <f>'Worksheet - Cap Impr Fund (030)'!G21</f>
        <v>45218</v>
      </c>
      <c r="F12" s="110">
        <f>'Worksheet - Cap Impr Fund (030)'!H21</f>
        <v>0</v>
      </c>
      <c r="G12" s="110">
        <f>'Worksheet - Cap Impr Fund (030)'!I21</f>
        <v>0</v>
      </c>
    </row>
    <row r="13" spans="1:9">
      <c r="A13" s="95" t="s">
        <v>217</v>
      </c>
      <c r="B13" s="110">
        <v>207742.78</v>
      </c>
      <c r="C13" s="110">
        <f>'Worksheet - Cap Impr Fund (030)'!E43</f>
        <v>237000</v>
      </c>
      <c r="D13" s="110">
        <f>'Worksheet - Cap Impr Fund (030)'!F43</f>
        <v>0</v>
      </c>
      <c r="E13" s="110">
        <f>'Worksheet - Cap Impr Fund (030)'!G43</f>
        <v>493519.42</v>
      </c>
      <c r="F13" s="110">
        <f>'Worksheet - Cap Impr Fund (030)'!H43</f>
        <v>538384.8218181819</v>
      </c>
      <c r="G13" s="110">
        <f>'Worksheet - Cap Impr Fund (030)'!I43</f>
        <v>250000</v>
      </c>
    </row>
    <row r="14" spans="1:9">
      <c r="A14" s="95" t="s">
        <v>24</v>
      </c>
      <c r="B14" s="110">
        <f>'Worksheet - Cap Impr Fund (030)'!E47</f>
        <v>0</v>
      </c>
      <c r="C14" s="110">
        <f>'Worksheet - Cap Impr Fund (030)'!E47</f>
        <v>0</v>
      </c>
      <c r="D14" s="110">
        <f>'Worksheet - Cap Impr Fund (030)'!F47</f>
        <v>0</v>
      </c>
      <c r="E14" s="110">
        <f>'Worksheet - Cap Impr Fund (030)'!G47</f>
        <v>0</v>
      </c>
      <c r="F14" s="110">
        <f>'Worksheet - Cap Impr Fund (030)'!H47</f>
        <v>0</v>
      </c>
      <c r="G14" s="110">
        <f>'Worksheet - Cap Impr Fund (030)'!I47</f>
        <v>0</v>
      </c>
    </row>
    <row r="15" spans="1:9">
      <c r="A15" s="95" t="s">
        <v>30</v>
      </c>
      <c r="B15" s="110">
        <f>'Worksheet - Cap Impr Fund (030)'!E51</f>
        <v>0</v>
      </c>
      <c r="C15" s="110">
        <f>'Worksheet - Cap Impr Fund (030)'!E51</f>
        <v>0</v>
      </c>
      <c r="D15" s="110">
        <f>'Worksheet - Cap Impr Fund (030)'!F51</f>
        <v>0</v>
      </c>
      <c r="E15" s="110">
        <f>'Worksheet - Cap Impr Fund (030)'!G51</f>
        <v>23877.5</v>
      </c>
      <c r="F15" s="110">
        <f>'Worksheet - Cap Impr Fund (030)'!H51</f>
        <v>23877.5</v>
      </c>
      <c r="G15" s="110">
        <f>'Worksheet - Cap Impr Fund (030)'!I51</f>
        <v>0</v>
      </c>
    </row>
    <row r="16" spans="1:9" ht="15.75" thickBot="1">
      <c r="A16" s="108" t="s">
        <v>697</v>
      </c>
      <c r="B16" s="111">
        <f t="shared" ref="B16" si="1">SUM(B12:B15)</f>
        <v>207742.78</v>
      </c>
      <c r="C16" s="111">
        <f>SUM(C12:C15)</f>
        <v>237000</v>
      </c>
      <c r="D16" s="111">
        <f t="shared" ref="D16:G16" si="2">SUM(D12:D15)</f>
        <v>0</v>
      </c>
      <c r="E16" s="111">
        <f t="shared" si="2"/>
        <v>562614.91999999993</v>
      </c>
      <c r="F16" s="111">
        <f t="shared" si="2"/>
        <v>562262.3218181819</v>
      </c>
      <c r="G16" s="111">
        <f t="shared" si="2"/>
        <v>250000</v>
      </c>
    </row>
    <row r="17" spans="1:7" ht="15.75" thickTop="1">
      <c r="A17" s="33"/>
      <c r="B17" s="114"/>
      <c r="C17" s="114"/>
      <c r="D17" s="114"/>
      <c r="E17" s="114"/>
      <c r="F17" s="114"/>
      <c r="G17" s="205"/>
    </row>
    <row r="18" spans="1:7" ht="27" thickBot="1">
      <c r="A18" s="90" t="s">
        <v>867</v>
      </c>
      <c r="B18" s="132">
        <f>B9-B16</f>
        <v>83282.23000000001</v>
      </c>
      <c r="C18" s="132">
        <f t="shared" ref="C18:G18" si="3">C9-C16</f>
        <v>28000</v>
      </c>
      <c r="D18" s="132">
        <f t="shared" si="3"/>
        <v>0</v>
      </c>
      <c r="E18" s="132">
        <f t="shared" si="3"/>
        <v>-270176.34999999992</v>
      </c>
      <c r="F18" s="132">
        <f t="shared" si="3"/>
        <v>-243238.42727272736</v>
      </c>
      <c r="G18" s="132">
        <f t="shared" si="3"/>
        <v>50000</v>
      </c>
    </row>
    <row r="19" spans="1:7" ht="15.75" thickTop="1">
      <c r="A19" s="29"/>
      <c r="B19" s="115"/>
      <c r="C19" s="115"/>
      <c r="D19" s="115"/>
      <c r="E19" s="115"/>
      <c r="F19" s="115"/>
      <c r="G19" s="206"/>
    </row>
    <row r="20" spans="1:7">
      <c r="A20" s="18" t="s">
        <v>868</v>
      </c>
      <c r="B20" s="115"/>
      <c r="C20" s="115"/>
      <c r="D20" s="115"/>
      <c r="E20" s="115"/>
      <c r="F20" s="115"/>
      <c r="G20" s="206"/>
    </row>
    <row r="21" spans="1:7">
      <c r="A21" s="95" t="s">
        <v>3</v>
      </c>
      <c r="B21" s="110">
        <v>0</v>
      </c>
      <c r="C21" s="110">
        <v>0</v>
      </c>
      <c r="D21" s="110">
        <v>0</v>
      </c>
      <c r="E21" s="110">
        <v>0</v>
      </c>
      <c r="F21" s="110">
        <v>0</v>
      </c>
      <c r="G21" s="206">
        <v>0</v>
      </c>
    </row>
    <row r="22" spans="1:7">
      <c r="A22" s="95" t="s">
        <v>4</v>
      </c>
      <c r="B22" s="110">
        <v>0</v>
      </c>
      <c r="C22" s="110">
        <v>0</v>
      </c>
      <c r="D22" s="110">
        <v>0</v>
      </c>
      <c r="E22" s="110">
        <v>0</v>
      </c>
      <c r="F22" s="110">
        <v>0</v>
      </c>
      <c r="G22" s="206">
        <v>0</v>
      </c>
    </row>
    <row r="23" spans="1:7">
      <c r="A23" s="95" t="s">
        <v>5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206">
        <v>0</v>
      </c>
    </row>
    <row r="24" spans="1:7" ht="15.75" thickBot="1">
      <c r="A24" s="18" t="s">
        <v>869</v>
      </c>
      <c r="B24" s="111">
        <f t="shared" ref="B24:G24" si="4">SUM(B21:B23)</f>
        <v>0</v>
      </c>
      <c r="C24" s="111">
        <f t="shared" si="4"/>
        <v>0</v>
      </c>
      <c r="D24" s="111">
        <f t="shared" si="4"/>
        <v>0</v>
      </c>
      <c r="E24" s="111">
        <f t="shared" si="4"/>
        <v>0</v>
      </c>
      <c r="F24" s="111">
        <f t="shared" si="4"/>
        <v>0</v>
      </c>
      <c r="G24" s="111">
        <f t="shared" si="4"/>
        <v>0</v>
      </c>
    </row>
    <row r="25" spans="1:7" ht="15.75" thickTop="1">
      <c r="A25" s="29"/>
      <c r="B25" s="115"/>
      <c r="C25" s="115"/>
      <c r="D25" s="115"/>
      <c r="E25" s="115"/>
      <c r="F25" s="115"/>
      <c r="G25" s="206"/>
    </row>
    <row r="26" spans="1:7" ht="39.75" thickBot="1">
      <c r="A26" s="90" t="s">
        <v>871</v>
      </c>
      <c r="B26" s="133">
        <f>B18+B24</f>
        <v>83282.23000000001</v>
      </c>
      <c r="C26" s="133">
        <f t="shared" ref="C26:G26" si="5">C18+C24</f>
        <v>28000</v>
      </c>
      <c r="D26" s="133">
        <f t="shared" si="5"/>
        <v>0</v>
      </c>
      <c r="E26" s="133">
        <f t="shared" si="5"/>
        <v>-270176.34999999992</v>
      </c>
      <c r="F26" s="133">
        <f t="shared" si="5"/>
        <v>-243238.42727272736</v>
      </c>
      <c r="G26" s="133">
        <f t="shared" si="5"/>
        <v>50000</v>
      </c>
    </row>
    <row r="27" spans="1:7" ht="15.75" thickTop="1">
      <c r="A27" s="29"/>
      <c r="B27" s="115"/>
      <c r="C27" s="115"/>
      <c r="D27" s="115"/>
      <c r="E27" s="115"/>
      <c r="F27" s="115"/>
      <c r="G27" s="206"/>
    </row>
    <row r="28" spans="1:7" s="4" customFormat="1">
      <c r="A28" s="93" t="s">
        <v>7</v>
      </c>
      <c r="B28" s="113">
        <v>254745</v>
      </c>
      <c r="C28" s="113">
        <f>B29</f>
        <v>338027.23</v>
      </c>
      <c r="D28" s="113">
        <v>0</v>
      </c>
      <c r="E28" s="113">
        <v>338027</v>
      </c>
      <c r="F28" s="113">
        <v>338027</v>
      </c>
      <c r="G28" s="113">
        <f>F29</f>
        <v>94788.572727272636</v>
      </c>
    </row>
    <row r="29" spans="1:7" ht="15.75" thickBot="1">
      <c r="A29" s="87" t="s">
        <v>873</v>
      </c>
      <c r="B29" s="111">
        <f>B28+B26</f>
        <v>338027.23</v>
      </c>
      <c r="C29" s="111">
        <f t="shared" ref="C29:G29" si="6">C28+C26</f>
        <v>366027.23</v>
      </c>
      <c r="D29" s="111">
        <f t="shared" si="6"/>
        <v>0</v>
      </c>
      <c r="E29" s="111">
        <f t="shared" si="6"/>
        <v>67850.650000000081</v>
      </c>
      <c r="F29" s="111">
        <f t="shared" si="6"/>
        <v>94788.572727272636</v>
      </c>
      <c r="G29" s="111">
        <f t="shared" si="6"/>
        <v>144788.57272727264</v>
      </c>
    </row>
    <row r="30" spans="1:7" ht="15.75" thickTop="1">
      <c r="A30" s="29"/>
      <c r="B30" s="115"/>
      <c r="C30" s="115"/>
      <c r="D30" s="115"/>
      <c r="E30" s="115"/>
      <c r="F30" s="115"/>
      <c r="G30" s="206"/>
    </row>
    <row r="31" spans="1:7">
      <c r="A31" s="87" t="s">
        <v>874</v>
      </c>
      <c r="B31" s="115"/>
      <c r="C31" s="115"/>
      <c r="D31" s="115"/>
      <c r="E31" s="115"/>
      <c r="F31" s="115"/>
      <c r="G31" s="206"/>
    </row>
    <row r="32" spans="1:7">
      <c r="A32" s="87"/>
      <c r="B32" s="115"/>
      <c r="C32" s="115"/>
      <c r="D32" s="115"/>
      <c r="E32" s="115"/>
      <c r="F32" s="115"/>
      <c r="G32" s="206"/>
    </row>
    <row r="33" spans="1:7">
      <c r="A33" s="87" t="s">
        <v>875</v>
      </c>
      <c r="B33" s="110" t="s">
        <v>6</v>
      </c>
      <c r="C33" s="110"/>
      <c r="D33" s="110" t="s">
        <v>6</v>
      </c>
      <c r="E33" s="110" t="s">
        <v>6</v>
      </c>
      <c r="F33" s="110" t="s">
        <v>6</v>
      </c>
      <c r="G33" s="206"/>
    </row>
    <row r="34" spans="1:7">
      <c r="A34" s="95" t="s">
        <v>698</v>
      </c>
      <c r="B34" s="110">
        <v>0</v>
      </c>
      <c r="C34" s="110">
        <v>0</v>
      </c>
      <c r="D34" s="110">
        <v>0</v>
      </c>
      <c r="E34" s="110">
        <v>0</v>
      </c>
      <c r="F34" s="110">
        <v>0</v>
      </c>
      <c r="G34" s="114">
        <v>0</v>
      </c>
    </row>
    <row r="35" spans="1:7">
      <c r="A35" s="95" t="s">
        <v>8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4">
        <v>0</v>
      </c>
    </row>
    <row r="36" spans="1:7">
      <c r="A36" s="95" t="s">
        <v>9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4">
        <v>0</v>
      </c>
    </row>
    <row r="37" spans="1:7" ht="15.75" thickBot="1">
      <c r="A37" s="87" t="s">
        <v>876</v>
      </c>
      <c r="B37" s="111">
        <f>SUM(B33:B36)</f>
        <v>0</v>
      </c>
      <c r="C37" s="111"/>
      <c r="D37" s="111">
        <f>SUM(D33:D36)</f>
        <v>0</v>
      </c>
      <c r="E37" s="111">
        <f>SUM(E33:E36)</f>
        <v>0</v>
      </c>
      <c r="F37" s="111">
        <f>SUM(F33:F36)</f>
        <v>0</v>
      </c>
      <c r="G37" s="111">
        <f>SUM(G33:G36)</f>
        <v>0</v>
      </c>
    </row>
    <row r="38" spans="1:7" ht="15.75" thickTop="1">
      <c r="A38" s="87"/>
      <c r="B38" s="136"/>
      <c r="C38" s="136"/>
      <c r="D38" s="136"/>
      <c r="E38" s="136"/>
      <c r="F38" s="136"/>
      <c r="G38" s="206"/>
    </row>
    <row r="39" spans="1:7" ht="15.75" thickBot="1">
      <c r="A39" s="87" t="s">
        <v>877</v>
      </c>
      <c r="B39" s="111">
        <f>B29-B37</f>
        <v>338027.23</v>
      </c>
      <c r="C39" s="111">
        <f t="shared" ref="C39:G39" si="7">C29-C37</f>
        <v>366027.23</v>
      </c>
      <c r="D39" s="111">
        <f t="shared" si="7"/>
        <v>0</v>
      </c>
      <c r="E39" s="111">
        <f t="shared" si="7"/>
        <v>67850.650000000081</v>
      </c>
      <c r="F39" s="111">
        <f t="shared" si="7"/>
        <v>94788.572727272636</v>
      </c>
      <c r="G39" s="111">
        <f t="shared" si="7"/>
        <v>144788.57272727264</v>
      </c>
    </row>
    <row r="40" spans="1:7" ht="15.75" thickTop="1">
      <c r="A40" s="29"/>
      <c r="B40" s="29"/>
      <c r="C40" s="29"/>
      <c r="D40" s="29"/>
      <c r="E40" s="29"/>
      <c r="F40" s="29"/>
      <c r="G40" s="29"/>
    </row>
    <row r="41" spans="1:7">
      <c r="A41" s="116"/>
      <c r="B41" s="114"/>
      <c r="C41" s="114"/>
      <c r="D41" s="114"/>
      <c r="E41" s="114"/>
      <c r="F41" s="114"/>
      <c r="G41" s="114"/>
    </row>
    <row r="42" spans="1:7">
      <c r="A42" s="33" t="s">
        <v>6</v>
      </c>
      <c r="B42" s="114"/>
      <c r="C42" s="114"/>
      <c r="D42" s="114"/>
      <c r="E42" s="114"/>
      <c r="F42" s="114"/>
      <c r="G42" s="114"/>
    </row>
    <row r="43" spans="1:7">
      <c r="A43" s="33"/>
      <c r="B43" s="114"/>
      <c r="C43" s="114"/>
      <c r="D43" s="114"/>
      <c r="E43" s="114"/>
      <c r="F43" s="114"/>
      <c r="G43" s="114"/>
    </row>
    <row r="44" spans="1:7">
      <c r="A44" s="33"/>
      <c r="B44" s="114"/>
      <c r="C44" s="114"/>
      <c r="D44" s="114"/>
      <c r="E44" s="114"/>
      <c r="F44" s="114"/>
      <c r="G44" s="114"/>
    </row>
    <row r="45" spans="1:7">
      <c r="A45" s="33"/>
      <c r="B45" s="114"/>
      <c r="C45" s="114"/>
      <c r="D45" s="114"/>
      <c r="E45" s="114"/>
      <c r="F45" s="114"/>
      <c r="G45" s="114"/>
    </row>
    <row r="46" spans="1:7">
      <c r="A46" s="33"/>
      <c r="B46" s="114"/>
      <c r="C46" s="114"/>
      <c r="D46" s="114"/>
      <c r="E46" s="114"/>
      <c r="F46" s="114"/>
      <c r="G46" s="114"/>
    </row>
  </sheetData>
  <mergeCells count="2">
    <mergeCell ref="A1:G1"/>
    <mergeCell ref="A2:G2"/>
  </mergeCells>
  <pageMargins left="0.7" right="0.7" top="0.75" bottom="0.75" header="0.3" footer="0.3"/>
  <pageSetup scale="71" fitToHeight="0" orientation="portrait" r:id="rId1"/>
  <headerFooter>
    <oddFooter xml:space="preserve">&amp;C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134"/>
  <sheetViews>
    <sheetView workbookViewId="0">
      <pane ySplit="7" topLeftCell="A20" activePane="bottomLeft" state="frozen"/>
      <selection pane="bottomLeft" activeCell="I33" sqref="I33"/>
    </sheetView>
  </sheetViews>
  <sheetFormatPr defaultRowHeight="15"/>
  <cols>
    <col min="1" max="1" width="10.7109375" style="129" customWidth="1"/>
    <col min="2" max="2" width="5.7109375" style="129" customWidth="1"/>
    <col min="3" max="3" width="35.7109375" style="129" customWidth="1"/>
    <col min="4" max="4" width="5.7109375" style="129" customWidth="1"/>
    <col min="5" max="5" width="9.7109375" style="129" bestFit="1" customWidth="1"/>
    <col min="6" max="6" width="17.42578125" style="201" bestFit="1" customWidth="1"/>
    <col min="7" max="7" width="12" style="201" bestFit="1" customWidth="1"/>
    <col min="8" max="8" width="13.28515625" style="201" hidden="1" customWidth="1"/>
    <col min="9" max="9" width="11.42578125" style="201" bestFit="1" customWidth="1"/>
    <col min="10" max="10" width="30.7109375" style="201" hidden="1" customWidth="1"/>
    <col min="11" max="11" width="20.42578125" style="201" bestFit="1" customWidth="1"/>
    <col min="12" max="12" width="22.140625" style="129" bestFit="1" customWidth="1"/>
    <col min="13" max="14" width="9.140625" style="129"/>
  </cols>
  <sheetData>
    <row r="1" spans="1:14">
      <c r="A1" s="251" t="s">
        <v>1060</v>
      </c>
      <c r="B1" s="251"/>
      <c r="C1" s="251"/>
      <c r="D1" s="251"/>
      <c r="E1" s="251"/>
      <c r="F1" s="251"/>
      <c r="G1" s="31"/>
      <c r="H1" s="29"/>
      <c r="I1" s="29"/>
      <c r="J1" s="29"/>
      <c r="K1" s="29"/>
    </row>
    <row r="2" spans="1:14">
      <c r="A2" s="175"/>
      <c r="B2" s="175"/>
      <c r="C2" s="175"/>
      <c r="D2" s="175"/>
      <c r="E2" s="175"/>
      <c r="F2" s="175"/>
      <c r="G2" s="31"/>
      <c r="H2" s="29"/>
      <c r="I2" s="29"/>
      <c r="J2" s="29"/>
      <c r="K2" s="29"/>
    </row>
    <row r="3" spans="1:14">
      <c r="A3" s="29"/>
      <c r="B3" s="29"/>
      <c r="C3" s="29"/>
      <c r="E3" s="63">
        <v>2019</v>
      </c>
      <c r="F3" s="63">
        <v>2019</v>
      </c>
      <c r="G3" s="51">
        <v>2019</v>
      </c>
      <c r="H3" s="51">
        <v>2019</v>
      </c>
      <c r="I3" s="64" t="s">
        <v>839</v>
      </c>
      <c r="J3" s="176" t="s">
        <v>887</v>
      </c>
      <c r="K3" s="29"/>
    </row>
    <row r="4" spans="1:14">
      <c r="A4" s="29"/>
      <c r="B4" s="29"/>
      <c r="C4" s="29"/>
      <c r="E4" s="66" t="s">
        <v>862</v>
      </c>
      <c r="F4" s="66" t="s">
        <v>863</v>
      </c>
      <c r="G4" s="66" t="s">
        <v>1147</v>
      </c>
      <c r="H4" s="66" t="s">
        <v>909</v>
      </c>
      <c r="I4" s="67" t="s">
        <v>826</v>
      </c>
      <c r="J4" s="18"/>
      <c r="K4" s="29"/>
    </row>
    <row r="5" spans="1:14">
      <c r="A5" s="19"/>
      <c r="B5" s="19"/>
      <c r="C5" s="20"/>
      <c r="E5" s="20"/>
      <c r="F5" s="29"/>
      <c r="G5" s="29"/>
      <c r="H5" s="29"/>
      <c r="I5" s="29"/>
      <c r="J5" s="29"/>
      <c r="K5" s="29"/>
    </row>
    <row r="6" spans="1:14">
      <c r="A6" s="251" t="s">
        <v>1061</v>
      </c>
      <c r="B6" s="251"/>
      <c r="C6" s="251"/>
      <c r="D6" s="251"/>
      <c r="E6" s="251"/>
      <c r="F6" s="29"/>
      <c r="G6" s="29"/>
      <c r="H6" s="29"/>
      <c r="I6" s="29"/>
      <c r="J6" s="29"/>
      <c r="K6" s="29"/>
    </row>
    <row r="7" spans="1:14">
      <c r="A7" s="175"/>
      <c r="B7" s="175"/>
      <c r="C7" s="175"/>
      <c r="D7" s="175"/>
      <c r="E7" s="29"/>
      <c r="F7" s="29"/>
      <c r="G7" s="29"/>
      <c r="H7" s="29"/>
      <c r="I7" s="29"/>
      <c r="J7" s="29"/>
      <c r="K7" s="129"/>
      <c r="N7"/>
    </row>
    <row r="8" spans="1:14">
      <c r="A8" s="29"/>
      <c r="B8" s="29"/>
      <c r="C8" s="18" t="s">
        <v>643</v>
      </c>
      <c r="D8" s="29"/>
      <c r="E8" s="31"/>
      <c r="F8" s="31"/>
      <c r="G8" s="31"/>
      <c r="H8" s="31"/>
      <c r="I8" s="31"/>
      <c r="J8" s="31"/>
      <c r="K8" s="29"/>
      <c r="N8"/>
    </row>
    <row r="9" spans="1:14">
      <c r="A9" s="29" t="s">
        <v>644</v>
      </c>
      <c r="B9" s="29"/>
      <c r="C9" s="95" t="s">
        <v>645</v>
      </c>
      <c r="D9" s="29"/>
      <c r="E9" s="30">
        <v>265000</v>
      </c>
      <c r="F9" s="30">
        <v>0</v>
      </c>
      <c r="G9" s="30">
        <v>292438.57</v>
      </c>
      <c r="H9" s="30">
        <f>(G9/11)*12</f>
        <v>319023.89454545453</v>
      </c>
      <c r="I9" s="30">
        <v>300000</v>
      </c>
      <c r="J9" s="30"/>
      <c r="K9" s="29"/>
      <c r="N9"/>
    </row>
    <row r="10" spans="1:14" ht="15.75" thickBot="1">
      <c r="A10" s="29"/>
      <c r="B10" s="29"/>
      <c r="C10" s="18" t="s">
        <v>1062</v>
      </c>
      <c r="D10" s="29"/>
      <c r="E10" s="202">
        <f>SUM(E9:E9)</f>
        <v>265000</v>
      </c>
      <c r="F10" s="202"/>
      <c r="G10" s="202">
        <f>SUM(G9:G9)</f>
        <v>292438.57</v>
      </c>
      <c r="H10" s="202">
        <f>SUM(H9:H9)</f>
        <v>319023.89454545453</v>
      </c>
      <c r="I10" s="202">
        <f>SUM(I9:I9)</f>
        <v>300000</v>
      </c>
      <c r="J10" s="29"/>
      <c r="K10" s="129"/>
      <c r="M10"/>
      <c r="N10"/>
    </row>
    <row r="11" spans="1:14" ht="15.75" thickTop="1">
      <c r="A11" s="29"/>
      <c r="B11" s="29"/>
      <c r="C11" s="29"/>
      <c r="D11" s="29"/>
      <c r="E11" s="31"/>
      <c r="F11" s="31"/>
      <c r="G11" s="31"/>
      <c r="H11" s="31"/>
      <c r="I11" s="31"/>
      <c r="J11" s="31"/>
      <c r="K11" s="29"/>
      <c r="N11"/>
    </row>
    <row r="12" spans="1:14" ht="15.75" thickBot="1">
      <c r="A12" s="18" t="s">
        <v>1075</v>
      </c>
      <c r="B12" s="29"/>
      <c r="C12" s="18"/>
      <c r="D12" s="29"/>
      <c r="E12" s="203">
        <f>E10</f>
        <v>265000</v>
      </c>
      <c r="F12" s="203">
        <f t="shared" ref="F12:I12" si="0">F10</f>
        <v>0</v>
      </c>
      <c r="G12" s="203">
        <f t="shared" si="0"/>
        <v>292438.57</v>
      </c>
      <c r="H12" s="203">
        <f t="shared" si="0"/>
        <v>319023.89454545453</v>
      </c>
      <c r="I12" s="203">
        <f t="shared" si="0"/>
        <v>300000</v>
      </c>
      <c r="J12" s="29"/>
      <c r="K12" s="129"/>
      <c r="M12"/>
      <c r="N12"/>
    </row>
    <row r="13" spans="1:14" ht="15.75" thickTop="1">
      <c r="A13" s="29"/>
      <c r="B13" s="29"/>
      <c r="C13" s="18"/>
      <c r="D13" s="29"/>
      <c r="E13" s="204"/>
      <c r="F13" s="204"/>
      <c r="G13" s="204"/>
      <c r="H13" s="204"/>
      <c r="I13" s="204"/>
      <c r="J13" s="204"/>
      <c r="K13" s="29"/>
      <c r="N13"/>
    </row>
    <row r="14" spans="1:14">
      <c r="A14" s="29"/>
      <c r="B14" s="29"/>
      <c r="C14" s="18"/>
      <c r="D14" s="29"/>
      <c r="E14" s="204"/>
      <c r="F14" s="204"/>
      <c r="G14" s="204"/>
      <c r="H14" s="204"/>
      <c r="I14" s="204"/>
      <c r="J14" s="204"/>
      <c r="K14" s="29"/>
      <c r="N14"/>
    </row>
    <row r="15" spans="1:14">
      <c r="A15" s="29"/>
      <c r="B15" s="29"/>
      <c r="C15" s="18" t="s">
        <v>356</v>
      </c>
      <c r="D15" s="29"/>
      <c r="E15" s="31"/>
      <c r="F15" s="31"/>
      <c r="G15" s="31"/>
      <c r="H15" s="31"/>
      <c r="I15" s="31"/>
      <c r="J15" s="31"/>
      <c r="K15" s="29"/>
      <c r="N15"/>
    </row>
    <row r="16" spans="1:14">
      <c r="A16" s="29" t="s">
        <v>646</v>
      </c>
      <c r="B16" s="29"/>
      <c r="C16" s="95" t="s">
        <v>641</v>
      </c>
      <c r="D16" s="29"/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29" t="s">
        <v>6</v>
      </c>
      <c r="K16" s="129"/>
      <c r="M16"/>
      <c r="N16"/>
    </row>
    <row r="17" spans="1:14">
      <c r="A17" s="29" t="s">
        <v>647</v>
      </c>
      <c r="B17" s="29"/>
      <c r="C17" s="95" t="s">
        <v>648</v>
      </c>
      <c r="D17" s="29"/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29"/>
      <c r="K17" s="129"/>
      <c r="M17"/>
      <c r="N17"/>
    </row>
    <row r="18" spans="1:14">
      <c r="A18" s="29" t="s">
        <v>649</v>
      </c>
      <c r="B18" s="29"/>
      <c r="C18" s="95" t="s">
        <v>650</v>
      </c>
      <c r="D18" s="29"/>
      <c r="E18" s="30">
        <v>0</v>
      </c>
      <c r="F18" s="30">
        <v>0</v>
      </c>
      <c r="G18" s="30">
        <v>15250</v>
      </c>
      <c r="H18" s="30">
        <v>0</v>
      </c>
      <c r="I18" s="30">
        <v>0</v>
      </c>
      <c r="J18" s="29"/>
      <c r="K18" s="129"/>
      <c r="M18"/>
      <c r="N18"/>
    </row>
    <row r="19" spans="1:14">
      <c r="A19" s="29" t="s">
        <v>651</v>
      </c>
      <c r="B19" s="29"/>
      <c r="C19" s="95" t="s">
        <v>652</v>
      </c>
      <c r="D19" s="29"/>
      <c r="E19" s="30">
        <v>0</v>
      </c>
      <c r="F19" s="30">
        <v>0</v>
      </c>
      <c r="G19" s="30">
        <v>29968</v>
      </c>
      <c r="H19" s="30">
        <v>0</v>
      </c>
      <c r="I19" s="30">
        <v>0</v>
      </c>
      <c r="J19" s="29"/>
      <c r="K19" s="129"/>
      <c r="M19"/>
      <c r="N19"/>
    </row>
    <row r="20" spans="1:14">
      <c r="A20" s="29" t="s">
        <v>653</v>
      </c>
      <c r="B20" s="29"/>
      <c r="C20" s="95" t="s">
        <v>654</v>
      </c>
      <c r="D20" s="29"/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29"/>
      <c r="K20" s="129"/>
      <c r="M20"/>
      <c r="N20"/>
    </row>
    <row r="21" spans="1:14" ht="15.75" thickBot="1">
      <c r="A21" s="29" t="s">
        <v>6</v>
      </c>
      <c r="B21" s="29"/>
      <c r="C21" s="18" t="s">
        <v>979</v>
      </c>
      <c r="D21" s="29"/>
      <c r="E21" s="202">
        <f>SUM(E16:E20)</f>
        <v>0</v>
      </c>
      <c r="F21" s="202">
        <f t="shared" ref="F21:I21" si="1">SUM(F16:F20)</f>
        <v>0</v>
      </c>
      <c r="G21" s="202">
        <f t="shared" si="1"/>
        <v>45218</v>
      </c>
      <c r="H21" s="202">
        <f t="shared" si="1"/>
        <v>0</v>
      </c>
      <c r="I21" s="202">
        <f t="shared" si="1"/>
        <v>0</v>
      </c>
      <c r="J21" s="29"/>
      <c r="K21" s="129"/>
      <c r="M21"/>
      <c r="N21"/>
    </row>
    <row r="22" spans="1:14" ht="15.75" thickTop="1">
      <c r="A22" s="29"/>
      <c r="B22" s="29"/>
      <c r="C22" s="29"/>
      <c r="D22" s="29"/>
      <c r="E22" s="30"/>
      <c r="F22" s="30"/>
      <c r="G22" s="30"/>
      <c r="H22" s="30"/>
      <c r="I22" s="30"/>
      <c r="J22" s="30"/>
      <c r="K22" s="29"/>
      <c r="N22"/>
    </row>
    <row r="23" spans="1:14">
      <c r="A23" s="29" t="s">
        <v>6</v>
      </c>
      <c r="B23" s="29"/>
      <c r="C23" s="18" t="s">
        <v>217</v>
      </c>
      <c r="D23" s="29"/>
      <c r="E23" s="30" t="s">
        <v>6</v>
      </c>
      <c r="F23" s="30" t="s">
        <v>6</v>
      </c>
      <c r="G23" s="30" t="s">
        <v>6</v>
      </c>
      <c r="H23" s="30" t="s">
        <v>6</v>
      </c>
      <c r="I23" s="30" t="s">
        <v>6</v>
      </c>
      <c r="J23" s="30"/>
      <c r="K23" s="29"/>
      <c r="N23"/>
    </row>
    <row r="24" spans="1:14">
      <c r="A24" s="29" t="s">
        <v>655</v>
      </c>
      <c r="B24" s="29"/>
      <c r="C24" s="95" t="s">
        <v>1161</v>
      </c>
      <c r="D24" s="29"/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/>
      <c r="K24" s="29"/>
      <c r="N24"/>
    </row>
    <row r="25" spans="1:14">
      <c r="A25" s="29" t="s">
        <v>656</v>
      </c>
      <c r="B25" s="29"/>
      <c r="C25" s="95" t="s">
        <v>657</v>
      </c>
      <c r="D25" s="29"/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/>
      <c r="K25" s="29"/>
      <c r="N25"/>
    </row>
    <row r="26" spans="1:14">
      <c r="A26" s="29" t="s">
        <v>658</v>
      </c>
      <c r="B26" s="29"/>
      <c r="C26" s="95" t="s">
        <v>659</v>
      </c>
      <c r="D26" s="29"/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/>
      <c r="K26" s="29"/>
      <c r="N26"/>
    </row>
    <row r="27" spans="1:14">
      <c r="A27" s="29" t="s">
        <v>660</v>
      </c>
      <c r="B27" s="29"/>
      <c r="C27" s="95" t="s">
        <v>661</v>
      </c>
      <c r="D27" s="29"/>
      <c r="E27" s="30">
        <v>200000</v>
      </c>
      <c r="F27" s="30">
        <v>0</v>
      </c>
      <c r="G27" s="30">
        <v>488743.99</v>
      </c>
      <c r="H27" s="30">
        <f>(G27/11)*12</f>
        <v>533175.26181818184</v>
      </c>
      <c r="I27" s="30">
        <v>0</v>
      </c>
      <c r="J27" s="30"/>
      <c r="K27" s="29"/>
      <c r="N27"/>
    </row>
    <row r="28" spans="1:14">
      <c r="A28" s="29" t="s">
        <v>662</v>
      </c>
      <c r="B28" s="29"/>
      <c r="C28" s="95" t="s">
        <v>663</v>
      </c>
      <c r="D28" s="29"/>
      <c r="E28" s="30">
        <v>8000</v>
      </c>
      <c r="F28" s="30">
        <v>0</v>
      </c>
      <c r="G28" s="30">
        <v>0</v>
      </c>
      <c r="H28" s="30">
        <v>0</v>
      </c>
      <c r="I28" s="30">
        <v>0</v>
      </c>
      <c r="J28" s="30"/>
      <c r="K28" s="29"/>
      <c r="N28"/>
    </row>
    <row r="29" spans="1:14">
      <c r="A29" s="29" t="s">
        <v>664</v>
      </c>
      <c r="B29" s="29"/>
      <c r="C29" s="95" t="s">
        <v>665</v>
      </c>
      <c r="D29" s="29"/>
      <c r="E29" s="30">
        <v>7000</v>
      </c>
      <c r="F29" s="30">
        <v>0</v>
      </c>
      <c r="G29" s="30">
        <v>0</v>
      </c>
      <c r="H29" s="30">
        <v>0</v>
      </c>
      <c r="I29" s="30">
        <v>0</v>
      </c>
      <c r="J29" s="30"/>
      <c r="K29" s="29"/>
      <c r="N29"/>
    </row>
    <row r="30" spans="1:14">
      <c r="A30" s="29" t="s">
        <v>666</v>
      </c>
      <c r="B30" s="29"/>
      <c r="C30" s="95" t="s">
        <v>667</v>
      </c>
      <c r="D30" s="29"/>
      <c r="E30" s="30">
        <v>5000</v>
      </c>
      <c r="F30" s="30">
        <v>0</v>
      </c>
      <c r="G30" s="30">
        <v>0</v>
      </c>
      <c r="H30" s="30">
        <v>0</v>
      </c>
      <c r="I30" s="30">
        <v>0</v>
      </c>
      <c r="J30" s="30"/>
      <c r="K30" s="29"/>
      <c r="N30"/>
    </row>
    <row r="31" spans="1:14">
      <c r="A31" s="29" t="s">
        <v>668</v>
      </c>
      <c r="B31" s="29"/>
      <c r="C31" s="95" t="s">
        <v>669</v>
      </c>
      <c r="D31" s="29"/>
      <c r="E31" s="30">
        <v>2000</v>
      </c>
      <c r="F31" s="30">
        <v>0</v>
      </c>
      <c r="G31" s="30">
        <v>0</v>
      </c>
      <c r="H31" s="30">
        <v>0</v>
      </c>
      <c r="I31" s="30">
        <v>0</v>
      </c>
      <c r="J31" s="30"/>
      <c r="K31" s="29"/>
      <c r="N31"/>
    </row>
    <row r="32" spans="1:14">
      <c r="A32" s="29" t="s">
        <v>670</v>
      </c>
      <c r="B32" s="29"/>
      <c r="C32" s="95" t="s">
        <v>671</v>
      </c>
      <c r="D32" s="29"/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/>
      <c r="K32" s="29"/>
      <c r="N32"/>
    </row>
    <row r="33" spans="1:14">
      <c r="A33" s="29" t="s">
        <v>672</v>
      </c>
      <c r="B33" s="29"/>
      <c r="C33" s="95" t="s">
        <v>673</v>
      </c>
      <c r="D33" s="29"/>
      <c r="E33" s="30">
        <v>15000</v>
      </c>
      <c r="F33" s="30">
        <v>0</v>
      </c>
      <c r="G33" s="30">
        <v>4775.43</v>
      </c>
      <c r="H33" s="30">
        <f>(G33/11)*12</f>
        <v>5209.5600000000004</v>
      </c>
      <c r="I33" s="30">
        <v>250000</v>
      </c>
      <c r="J33" s="30"/>
      <c r="K33" s="29"/>
      <c r="N33"/>
    </row>
    <row r="34" spans="1:14">
      <c r="A34" s="29" t="s">
        <v>674</v>
      </c>
      <c r="B34" s="29"/>
      <c r="C34" s="95" t="s">
        <v>675</v>
      </c>
      <c r="D34" s="29"/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/>
      <c r="K34" s="29"/>
      <c r="N34"/>
    </row>
    <row r="35" spans="1:14">
      <c r="A35" s="29" t="s">
        <v>676</v>
      </c>
      <c r="B35" s="29"/>
      <c r="C35" s="95" t="s">
        <v>677</v>
      </c>
      <c r="D35" s="29"/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/>
      <c r="K35" s="29"/>
      <c r="N35"/>
    </row>
    <row r="36" spans="1:14">
      <c r="A36" s="29" t="s">
        <v>678</v>
      </c>
      <c r="B36" s="29"/>
      <c r="C36" s="95" t="s">
        <v>679</v>
      </c>
      <c r="D36" s="29"/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/>
      <c r="K36" s="29"/>
      <c r="N36"/>
    </row>
    <row r="37" spans="1:14">
      <c r="A37" s="29" t="s">
        <v>680</v>
      </c>
      <c r="B37" s="29"/>
      <c r="C37" s="95" t="s">
        <v>681</v>
      </c>
      <c r="D37" s="29"/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/>
      <c r="K37" s="29"/>
      <c r="N37"/>
    </row>
    <row r="38" spans="1:14">
      <c r="A38" s="29" t="s">
        <v>682</v>
      </c>
      <c r="B38" s="29"/>
      <c r="C38" s="95" t="s">
        <v>683</v>
      </c>
      <c r="D38" s="29"/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/>
      <c r="K38" s="29"/>
      <c r="N38"/>
    </row>
    <row r="39" spans="1:14">
      <c r="A39" s="29" t="s">
        <v>684</v>
      </c>
      <c r="B39" s="29"/>
      <c r="C39" s="95" t="s">
        <v>685</v>
      </c>
      <c r="D39" s="29"/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/>
      <c r="K39" s="29"/>
      <c r="N39"/>
    </row>
    <row r="40" spans="1:14">
      <c r="A40" s="29" t="s">
        <v>686</v>
      </c>
      <c r="B40" s="29"/>
      <c r="C40" s="95" t="s">
        <v>687</v>
      </c>
      <c r="D40" s="29"/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/>
      <c r="K40" s="29"/>
      <c r="N40"/>
    </row>
    <row r="41" spans="1:14">
      <c r="A41" s="29" t="s">
        <v>688</v>
      </c>
      <c r="B41" s="29"/>
      <c r="C41" s="95" t="s">
        <v>689</v>
      </c>
      <c r="D41" s="29"/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/>
      <c r="K41" s="29"/>
      <c r="N41"/>
    </row>
    <row r="42" spans="1:14">
      <c r="A42" s="29" t="s">
        <v>690</v>
      </c>
      <c r="B42" s="29"/>
      <c r="C42" s="95" t="s">
        <v>691</v>
      </c>
      <c r="D42" s="29"/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29"/>
      <c r="K42" s="129"/>
      <c r="M42"/>
      <c r="N42"/>
    </row>
    <row r="43" spans="1:14" ht="15.75" thickBot="1">
      <c r="A43" s="29" t="s">
        <v>6</v>
      </c>
      <c r="B43" s="29"/>
      <c r="C43" s="18" t="s">
        <v>961</v>
      </c>
      <c r="D43" s="29"/>
      <c r="E43" s="202">
        <f>SUM(E24:E42)</f>
        <v>237000</v>
      </c>
      <c r="F43" s="202">
        <f>SUM(F24:F42)</f>
        <v>0</v>
      </c>
      <c r="G43" s="202">
        <f>SUM(G24:G42)</f>
        <v>493519.42</v>
      </c>
      <c r="H43" s="202">
        <f>SUM(H24:H42)</f>
        <v>538384.8218181819</v>
      </c>
      <c r="I43" s="202">
        <f>SUM(I24:I42)</f>
        <v>250000</v>
      </c>
      <c r="J43" s="29"/>
      <c r="K43" s="129"/>
      <c r="M43"/>
      <c r="N43"/>
    </row>
    <row r="44" spans="1:14" ht="15.75" thickTop="1">
      <c r="A44" s="29"/>
      <c r="B44" s="29"/>
      <c r="C44" s="29"/>
      <c r="D44" s="29"/>
      <c r="E44" s="31"/>
      <c r="F44" s="31"/>
      <c r="G44" s="31"/>
      <c r="H44" s="31"/>
      <c r="I44" s="31"/>
      <c r="J44" s="29"/>
      <c r="K44" s="129"/>
      <c r="M44"/>
      <c r="N44"/>
    </row>
    <row r="45" spans="1:14">
      <c r="A45" s="29"/>
      <c r="B45" s="29"/>
      <c r="C45" s="18" t="s">
        <v>11</v>
      </c>
      <c r="D45" s="29"/>
      <c r="E45" s="31"/>
      <c r="F45" s="31"/>
      <c r="G45" s="31"/>
      <c r="H45" s="31"/>
      <c r="I45" s="31"/>
      <c r="J45" s="29"/>
      <c r="K45" s="129"/>
      <c r="M45"/>
      <c r="N45"/>
    </row>
    <row r="46" spans="1:14">
      <c r="A46" s="29" t="s">
        <v>692</v>
      </c>
      <c r="B46" s="29"/>
      <c r="C46" s="95" t="s">
        <v>693</v>
      </c>
      <c r="D46" s="29"/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29"/>
      <c r="K46" s="129"/>
      <c r="M46"/>
      <c r="N46"/>
    </row>
    <row r="47" spans="1:14" ht="15.75" thickBot="1">
      <c r="A47" s="29" t="s">
        <v>6</v>
      </c>
      <c r="B47" s="29"/>
      <c r="C47" s="18" t="s">
        <v>995</v>
      </c>
      <c r="D47" s="29"/>
      <c r="E47" s="202">
        <f>SUM(E46)</f>
        <v>0</v>
      </c>
      <c r="F47" s="202">
        <f t="shared" ref="F47:I47" si="2">SUM(F46)</f>
        <v>0</v>
      </c>
      <c r="G47" s="202">
        <f t="shared" si="2"/>
        <v>0</v>
      </c>
      <c r="H47" s="202">
        <f t="shared" si="2"/>
        <v>0</v>
      </c>
      <c r="I47" s="202">
        <f t="shared" si="2"/>
        <v>0</v>
      </c>
      <c r="J47" s="29"/>
      <c r="K47" s="129"/>
      <c r="M47"/>
      <c r="N47"/>
    </row>
    <row r="48" spans="1:14" ht="15.75" thickTop="1">
      <c r="A48" s="29"/>
      <c r="B48" s="29"/>
      <c r="C48" s="29"/>
      <c r="D48" s="29"/>
      <c r="E48" s="30"/>
      <c r="F48" s="30"/>
      <c r="G48" s="30"/>
      <c r="H48" s="30"/>
      <c r="I48" s="30"/>
      <c r="J48" s="29"/>
      <c r="K48" s="129"/>
      <c r="M48"/>
      <c r="N48"/>
    </row>
    <row r="49" spans="1:14">
      <c r="A49" s="29" t="s">
        <v>6</v>
      </c>
      <c r="B49" s="29"/>
      <c r="C49" s="18" t="s">
        <v>30</v>
      </c>
      <c r="D49" s="29"/>
      <c r="E49" s="30" t="s">
        <v>6</v>
      </c>
      <c r="F49" s="30" t="s">
        <v>6</v>
      </c>
      <c r="G49" s="30" t="s">
        <v>6</v>
      </c>
      <c r="H49" s="30" t="s">
        <v>6</v>
      </c>
      <c r="I49" s="30" t="s">
        <v>6</v>
      </c>
      <c r="J49" s="29"/>
      <c r="K49" s="129"/>
      <c r="M49"/>
      <c r="N49"/>
    </row>
    <row r="50" spans="1:14">
      <c r="A50" s="29" t="s">
        <v>694</v>
      </c>
      <c r="B50" s="29"/>
      <c r="C50" s="95" t="s">
        <v>695</v>
      </c>
      <c r="D50" s="29"/>
      <c r="E50" s="30">
        <v>0</v>
      </c>
      <c r="F50" s="30">
        <v>0</v>
      </c>
      <c r="G50" s="30">
        <v>23877.5</v>
      </c>
      <c r="H50" s="30">
        <v>23877.5</v>
      </c>
      <c r="I50" s="30">
        <v>0</v>
      </c>
      <c r="J50" s="29"/>
      <c r="K50" s="129"/>
      <c r="M50"/>
      <c r="N50"/>
    </row>
    <row r="51" spans="1:14" ht="15.75" thickBot="1">
      <c r="A51" s="29" t="s">
        <v>6</v>
      </c>
      <c r="B51" s="29"/>
      <c r="C51" s="18" t="s">
        <v>1076</v>
      </c>
      <c r="D51" s="29"/>
      <c r="E51" s="202">
        <f>SUM(E50)</f>
        <v>0</v>
      </c>
      <c r="F51" s="202">
        <f t="shared" ref="F51:I51" si="3">SUM(F50)</f>
        <v>0</v>
      </c>
      <c r="G51" s="202">
        <f t="shared" si="3"/>
        <v>23877.5</v>
      </c>
      <c r="H51" s="202">
        <f t="shared" si="3"/>
        <v>23877.5</v>
      </c>
      <c r="I51" s="202">
        <f t="shared" si="3"/>
        <v>0</v>
      </c>
      <c r="J51" s="29"/>
      <c r="K51" s="129"/>
      <c r="M51"/>
      <c r="N51"/>
    </row>
    <row r="52" spans="1:14" ht="16.5" thickTop="1" thickBot="1">
      <c r="A52" s="29"/>
      <c r="B52" s="29"/>
      <c r="C52" s="29"/>
      <c r="D52" s="29"/>
      <c r="E52" s="202"/>
      <c r="F52" s="202"/>
      <c r="G52" s="202"/>
      <c r="H52" s="202"/>
      <c r="I52" s="202"/>
      <c r="J52" s="29"/>
      <c r="K52" s="129"/>
      <c r="M52"/>
      <c r="N52"/>
    </row>
    <row r="53" spans="1:14" ht="16.5" thickTop="1" thickBot="1">
      <c r="A53" s="29"/>
      <c r="B53" s="29"/>
      <c r="C53" s="18" t="s">
        <v>696</v>
      </c>
      <c r="D53" s="29"/>
      <c r="E53" s="203">
        <f>E21+E43+E47+E51</f>
        <v>237000</v>
      </c>
      <c r="F53" s="203">
        <f>F21+F43+F47+F51</f>
        <v>0</v>
      </c>
      <c r="G53" s="203">
        <f>G21+G43+G47+G51</f>
        <v>562614.91999999993</v>
      </c>
      <c r="H53" s="203">
        <f>H21+H43+H47+H51</f>
        <v>562262.3218181819</v>
      </c>
      <c r="I53" s="203">
        <f>I21+I43+I47+I51</f>
        <v>250000</v>
      </c>
      <c r="J53" s="29"/>
      <c r="K53" s="129"/>
      <c r="M53"/>
      <c r="N53"/>
    </row>
    <row r="54" spans="1:14" ht="15.75" thickTop="1">
      <c r="A54" s="29"/>
      <c r="B54" s="29"/>
      <c r="C54" s="29"/>
      <c r="D54" s="29"/>
      <c r="E54" s="31"/>
      <c r="F54" s="31"/>
      <c r="G54" s="31"/>
      <c r="H54" s="31"/>
      <c r="I54" s="31"/>
      <c r="J54" s="31"/>
      <c r="K54" s="29"/>
      <c r="N54"/>
    </row>
    <row r="55" spans="1:14">
      <c r="A55" s="29"/>
      <c r="B55" s="29"/>
      <c r="C55" s="29"/>
      <c r="D55" s="29"/>
      <c r="E55" s="31"/>
      <c r="F55" s="31"/>
      <c r="G55" s="31"/>
      <c r="H55" s="31"/>
      <c r="I55" s="31"/>
      <c r="J55" s="31"/>
      <c r="K55" s="29"/>
      <c r="N55"/>
    </row>
    <row r="56" spans="1:14">
      <c r="A56" s="29"/>
      <c r="B56" s="29"/>
      <c r="C56" s="29"/>
      <c r="D56" s="29"/>
      <c r="E56" s="31"/>
      <c r="F56" s="31"/>
      <c r="G56" s="31"/>
      <c r="H56" s="31"/>
      <c r="I56" s="31"/>
      <c r="J56" s="31"/>
      <c r="K56" s="29"/>
      <c r="N56"/>
    </row>
    <row r="57" spans="1:14">
      <c r="A57" s="29"/>
      <c r="B57" s="29"/>
      <c r="C57" s="29"/>
      <c r="D57" s="29"/>
      <c r="E57" s="31"/>
      <c r="F57" s="31"/>
      <c r="G57" s="31"/>
      <c r="H57" s="31"/>
      <c r="I57" s="31"/>
      <c r="J57" s="31"/>
      <c r="K57" s="29"/>
      <c r="N57"/>
    </row>
    <row r="58" spans="1:14">
      <c r="E58" s="201"/>
      <c r="K58" s="129"/>
      <c r="N58"/>
    </row>
    <row r="59" spans="1:14">
      <c r="E59" s="201"/>
      <c r="K59" s="129"/>
      <c r="N59"/>
    </row>
    <row r="60" spans="1:14">
      <c r="E60" s="201"/>
      <c r="K60" s="129"/>
      <c r="N60"/>
    </row>
    <row r="61" spans="1:14">
      <c r="E61" s="201"/>
      <c r="K61" s="129"/>
      <c r="N61"/>
    </row>
    <row r="62" spans="1:14">
      <c r="E62" s="201"/>
      <c r="K62" s="129"/>
      <c r="N62"/>
    </row>
    <row r="63" spans="1:14">
      <c r="E63" s="201"/>
      <c r="K63" s="129"/>
      <c r="N63"/>
    </row>
    <row r="64" spans="1:14">
      <c r="E64" s="201"/>
      <c r="K64" s="129"/>
      <c r="N64"/>
    </row>
    <row r="65" spans="5:14">
      <c r="E65" s="201"/>
      <c r="K65" s="129"/>
      <c r="N65"/>
    </row>
    <row r="66" spans="5:14">
      <c r="E66" s="201"/>
      <c r="K66" s="129"/>
      <c r="N66"/>
    </row>
    <row r="67" spans="5:14">
      <c r="E67" s="201"/>
      <c r="K67" s="129"/>
      <c r="N67"/>
    </row>
    <row r="68" spans="5:14">
      <c r="E68" s="201"/>
      <c r="K68" s="129"/>
      <c r="N68"/>
    </row>
    <row r="69" spans="5:14">
      <c r="E69" s="201"/>
      <c r="K69" s="129"/>
      <c r="N69"/>
    </row>
    <row r="70" spans="5:14">
      <c r="E70" s="201"/>
      <c r="K70" s="129"/>
      <c r="N70"/>
    </row>
    <row r="71" spans="5:14">
      <c r="E71" s="201"/>
      <c r="K71" s="129"/>
      <c r="N71"/>
    </row>
    <row r="72" spans="5:14">
      <c r="E72" s="201"/>
      <c r="K72" s="129"/>
      <c r="N72"/>
    </row>
    <row r="73" spans="5:14">
      <c r="E73" s="201"/>
      <c r="K73" s="129"/>
      <c r="N73"/>
    </row>
    <row r="74" spans="5:14">
      <c r="E74" s="201"/>
      <c r="K74" s="129"/>
      <c r="N74"/>
    </row>
    <row r="75" spans="5:14">
      <c r="E75" s="201"/>
      <c r="K75" s="129"/>
      <c r="N75"/>
    </row>
    <row r="76" spans="5:14">
      <c r="E76" s="201"/>
      <c r="K76" s="129"/>
      <c r="N76"/>
    </row>
    <row r="77" spans="5:14">
      <c r="E77" s="201"/>
      <c r="K77" s="129"/>
      <c r="N77"/>
    </row>
    <row r="78" spans="5:14">
      <c r="E78" s="201"/>
      <c r="K78" s="129"/>
      <c r="N78"/>
    </row>
    <row r="79" spans="5:14">
      <c r="E79" s="201"/>
      <c r="K79" s="129"/>
      <c r="N79"/>
    </row>
    <row r="80" spans="5:14">
      <c r="E80" s="201"/>
      <c r="K80" s="129"/>
      <c r="N80"/>
    </row>
    <row r="81" spans="5:14">
      <c r="E81" s="201"/>
      <c r="K81" s="129"/>
      <c r="N81"/>
    </row>
    <row r="82" spans="5:14">
      <c r="E82" s="201"/>
      <c r="K82" s="129"/>
      <c r="N82"/>
    </row>
    <row r="83" spans="5:14">
      <c r="E83" s="201"/>
      <c r="K83" s="129"/>
      <c r="N83"/>
    </row>
    <row r="84" spans="5:14">
      <c r="E84" s="201"/>
      <c r="K84" s="129"/>
      <c r="N84"/>
    </row>
    <row r="85" spans="5:14">
      <c r="E85" s="201"/>
      <c r="K85" s="129"/>
      <c r="N85"/>
    </row>
    <row r="86" spans="5:14">
      <c r="E86" s="201"/>
      <c r="K86" s="129"/>
      <c r="N86"/>
    </row>
    <row r="87" spans="5:14">
      <c r="E87" s="201"/>
      <c r="K87" s="129"/>
      <c r="N87"/>
    </row>
    <row r="88" spans="5:14">
      <c r="E88" s="201"/>
      <c r="K88" s="129"/>
      <c r="N88"/>
    </row>
    <row r="89" spans="5:14">
      <c r="E89" s="201"/>
      <c r="K89" s="129"/>
      <c r="N89"/>
    </row>
    <row r="90" spans="5:14">
      <c r="E90" s="201"/>
      <c r="K90" s="129"/>
      <c r="N90"/>
    </row>
    <row r="91" spans="5:14">
      <c r="E91" s="201"/>
      <c r="K91" s="129"/>
      <c r="N91"/>
    </row>
    <row r="92" spans="5:14">
      <c r="E92" s="201"/>
      <c r="K92" s="129"/>
      <c r="N92"/>
    </row>
    <row r="93" spans="5:14">
      <c r="E93" s="201"/>
      <c r="K93" s="129"/>
      <c r="N93"/>
    </row>
    <row r="94" spans="5:14">
      <c r="E94" s="201"/>
      <c r="K94" s="129"/>
      <c r="N94"/>
    </row>
    <row r="95" spans="5:14">
      <c r="E95" s="201"/>
      <c r="K95" s="129"/>
      <c r="N95"/>
    </row>
    <row r="96" spans="5:14">
      <c r="E96" s="201"/>
      <c r="K96" s="129"/>
      <c r="N96"/>
    </row>
    <row r="97" spans="5:14">
      <c r="E97" s="201"/>
      <c r="K97" s="129"/>
      <c r="N97"/>
    </row>
    <row r="98" spans="5:14">
      <c r="E98" s="201"/>
      <c r="K98" s="129"/>
      <c r="N98"/>
    </row>
    <row r="99" spans="5:14">
      <c r="E99" s="201"/>
      <c r="K99" s="129"/>
      <c r="N99"/>
    </row>
    <row r="100" spans="5:14">
      <c r="E100" s="201"/>
      <c r="K100" s="129"/>
      <c r="N100"/>
    </row>
    <row r="101" spans="5:14">
      <c r="E101" s="201"/>
      <c r="K101" s="129"/>
      <c r="N101"/>
    </row>
    <row r="102" spans="5:14">
      <c r="E102" s="201"/>
      <c r="K102" s="129"/>
      <c r="N102"/>
    </row>
    <row r="103" spans="5:14">
      <c r="E103" s="201"/>
      <c r="K103" s="129"/>
      <c r="N103"/>
    </row>
    <row r="104" spans="5:14">
      <c r="E104" s="201"/>
      <c r="K104" s="129"/>
      <c r="N104"/>
    </row>
    <row r="105" spans="5:14">
      <c r="E105" s="201"/>
      <c r="K105" s="129"/>
      <c r="N105"/>
    </row>
    <row r="106" spans="5:14">
      <c r="E106" s="201"/>
      <c r="K106" s="129"/>
      <c r="N106"/>
    </row>
    <row r="107" spans="5:14">
      <c r="E107" s="201"/>
      <c r="K107" s="129"/>
      <c r="N107"/>
    </row>
    <row r="108" spans="5:14">
      <c r="E108" s="201"/>
      <c r="K108" s="129"/>
      <c r="N108"/>
    </row>
    <row r="109" spans="5:14">
      <c r="E109" s="201"/>
      <c r="K109" s="129"/>
      <c r="N109"/>
    </row>
    <row r="110" spans="5:14">
      <c r="E110" s="201"/>
      <c r="K110" s="129"/>
      <c r="N110"/>
    </row>
    <row r="111" spans="5:14">
      <c r="E111" s="201"/>
      <c r="K111" s="129"/>
      <c r="N111"/>
    </row>
    <row r="112" spans="5:14">
      <c r="E112" s="201"/>
      <c r="K112" s="129"/>
      <c r="N112"/>
    </row>
    <row r="113" spans="5:14">
      <c r="E113" s="201"/>
      <c r="K113" s="129"/>
      <c r="N113"/>
    </row>
    <row r="114" spans="5:14">
      <c r="E114" s="201"/>
      <c r="K114" s="129"/>
      <c r="N114"/>
    </row>
    <row r="115" spans="5:14">
      <c r="E115" s="201"/>
      <c r="K115" s="129"/>
      <c r="N115"/>
    </row>
    <row r="116" spans="5:14">
      <c r="E116" s="201"/>
      <c r="K116" s="129"/>
      <c r="N116"/>
    </row>
    <row r="117" spans="5:14">
      <c r="E117" s="201"/>
      <c r="K117" s="129"/>
      <c r="N117"/>
    </row>
    <row r="118" spans="5:14">
      <c r="E118" s="201"/>
      <c r="K118" s="129"/>
      <c r="N118"/>
    </row>
    <row r="119" spans="5:14">
      <c r="E119" s="201"/>
      <c r="K119" s="129"/>
      <c r="N119"/>
    </row>
    <row r="120" spans="5:14">
      <c r="E120" s="201"/>
      <c r="K120" s="129"/>
      <c r="N120"/>
    </row>
    <row r="121" spans="5:14">
      <c r="E121" s="201"/>
      <c r="K121" s="129"/>
      <c r="N121"/>
    </row>
    <row r="122" spans="5:14">
      <c r="E122" s="201"/>
      <c r="K122" s="129"/>
      <c r="N122"/>
    </row>
    <row r="123" spans="5:14">
      <c r="E123" s="201"/>
      <c r="K123" s="129"/>
      <c r="N123"/>
    </row>
    <row r="124" spans="5:14">
      <c r="E124" s="201"/>
      <c r="K124" s="129"/>
      <c r="N124"/>
    </row>
    <row r="125" spans="5:14">
      <c r="E125" s="201"/>
      <c r="K125" s="129"/>
      <c r="N125"/>
    </row>
    <row r="126" spans="5:14">
      <c r="E126" s="201"/>
      <c r="K126" s="129"/>
      <c r="N126"/>
    </row>
    <row r="127" spans="5:14">
      <c r="E127" s="201"/>
      <c r="K127" s="129"/>
      <c r="N127"/>
    </row>
    <row r="128" spans="5:14">
      <c r="E128" s="201"/>
      <c r="K128" s="129"/>
      <c r="N128"/>
    </row>
    <row r="129" spans="5:14">
      <c r="E129" s="201"/>
      <c r="K129" s="129"/>
      <c r="N129"/>
    </row>
    <row r="130" spans="5:14">
      <c r="E130" s="201"/>
      <c r="K130" s="129"/>
      <c r="N130"/>
    </row>
    <row r="131" spans="5:14">
      <c r="E131" s="201"/>
      <c r="K131" s="129"/>
      <c r="N131"/>
    </row>
    <row r="132" spans="5:14">
      <c r="E132" s="201"/>
      <c r="K132" s="129"/>
      <c r="N132"/>
    </row>
    <row r="133" spans="5:14">
      <c r="E133" s="201"/>
      <c r="K133" s="129"/>
      <c r="N133"/>
    </row>
    <row r="134" spans="5:14">
      <c r="E134" s="201"/>
      <c r="K134" s="129"/>
      <c r="N134"/>
    </row>
  </sheetData>
  <mergeCells count="2">
    <mergeCell ref="A1:F1"/>
    <mergeCell ref="A6:E6"/>
  </mergeCells>
  <pageMargins left="0.7" right="0.7" top="0.75" bottom="0.75" header="0.3" footer="0.3"/>
  <pageSetup scale="80" fitToHeight="0" orientation="landscape" r:id="rId1"/>
  <headerFooter>
    <oddFooter>&amp;L&amp;D&amp;CWorksheet 
Page &amp;P&amp;R&amp;T</oddFooter>
  </headerFooter>
  <rowBreaks count="1" manualBreakCount="1"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6"/>
  <sheetViews>
    <sheetView topLeftCell="A16" workbookViewId="0">
      <selection activeCell="G20" sqref="G20"/>
    </sheetView>
  </sheetViews>
  <sheetFormatPr defaultRowHeight="15"/>
  <cols>
    <col min="1" max="1" width="42.140625" style="4" bestFit="1" customWidth="1"/>
    <col min="2" max="3" width="14.42578125" style="1" bestFit="1" customWidth="1"/>
    <col min="4" max="4" width="14.28515625" style="1" customWidth="1"/>
    <col min="5" max="5" width="14.42578125" style="1" bestFit="1" customWidth="1"/>
    <col min="6" max="6" width="13.28515625" style="1" hidden="1" customWidth="1"/>
    <col min="7" max="7" width="14.42578125" style="1" bestFit="1" customWidth="1"/>
    <col min="8" max="8" width="30.5703125" bestFit="1" customWidth="1"/>
  </cols>
  <sheetData>
    <row r="1" spans="1:9">
      <c r="A1" s="253" t="s">
        <v>34</v>
      </c>
      <c r="B1" s="253"/>
      <c r="C1" s="253"/>
      <c r="D1" s="253"/>
      <c r="E1" s="253"/>
      <c r="F1" s="253"/>
      <c r="G1" s="253"/>
      <c r="H1" s="129"/>
      <c r="I1" s="129"/>
    </row>
    <row r="2" spans="1:9">
      <c r="A2" s="253" t="s">
        <v>1091</v>
      </c>
      <c r="B2" s="253"/>
      <c r="C2" s="253"/>
      <c r="D2" s="253"/>
      <c r="E2" s="253"/>
      <c r="F2" s="253"/>
      <c r="G2" s="253"/>
      <c r="H2" s="129"/>
      <c r="I2" s="129"/>
    </row>
    <row r="3" spans="1:9" ht="7.5" customHeight="1">
      <c r="A3" s="108" t="s">
        <v>6</v>
      </c>
      <c r="B3" s="109" t="s">
        <v>6</v>
      </c>
      <c r="C3" s="109" t="s">
        <v>6</v>
      </c>
      <c r="D3" s="109"/>
      <c r="E3" s="109" t="s">
        <v>6</v>
      </c>
      <c r="F3" s="109" t="s">
        <v>6</v>
      </c>
      <c r="G3" s="109" t="s">
        <v>6</v>
      </c>
      <c r="H3" s="129"/>
      <c r="I3" s="129"/>
    </row>
    <row r="4" spans="1:9">
      <c r="A4" s="61"/>
      <c r="B4" s="63">
        <v>2018</v>
      </c>
      <c r="C4" s="63">
        <v>2019</v>
      </c>
      <c r="D4" s="63">
        <v>2019</v>
      </c>
      <c r="E4" s="51">
        <v>2019</v>
      </c>
      <c r="F4" s="51">
        <v>2019</v>
      </c>
      <c r="G4" s="64" t="s">
        <v>839</v>
      </c>
      <c r="H4" s="129"/>
      <c r="I4" s="129"/>
    </row>
    <row r="5" spans="1:9">
      <c r="A5" s="174" t="s">
        <v>864</v>
      </c>
      <c r="B5" s="66" t="s">
        <v>823</v>
      </c>
      <c r="C5" s="66" t="s">
        <v>862</v>
      </c>
      <c r="D5" s="66" t="s">
        <v>863</v>
      </c>
      <c r="E5" s="66" t="s">
        <v>1147</v>
      </c>
      <c r="F5" s="66" t="s">
        <v>909</v>
      </c>
      <c r="G5" s="67" t="s">
        <v>826</v>
      </c>
      <c r="H5" s="129"/>
      <c r="I5" s="129"/>
    </row>
    <row r="6" spans="1:9">
      <c r="B6" s="109"/>
      <c r="C6" s="109"/>
      <c r="D6" s="109"/>
      <c r="E6" s="109"/>
      <c r="F6" s="109"/>
      <c r="G6" s="109"/>
      <c r="H6" s="129"/>
      <c r="I6" s="129"/>
    </row>
    <row r="7" spans="1:9">
      <c r="A7" s="108" t="s">
        <v>1088</v>
      </c>
      <c r="B7" s="109"/>
      <c r="C7" s="109"/>
      <c r="D7" s="109"/>
      <c r="E7" s="109"/>
      <c r="F7" s="109"/>
      <c r="G7" s="109"/>
      <c r="H7" s="29"/>
      <c r="I7" s="29"/>
    </row>
    <row r="8" spans="1:9">
      <c r="A8" s="93" t="s">
        <v>1089</v>
      </c>
      <c r="B8" s="110">
        <v>38830.733</v>
      </c>
      <c r="C8" s="110">
        <f>'Worksheet - Cons Trust Fu (080)'!E10</f>
        <v>38000</v>
      </c>
      <c r="D8" s="110">
        <f>'Worksheet - Cons Trust Fu (080)'!F10</f>
        <v>0</v>
      </c>
      <c r="E8" s="110">
        <f>'Worksheet - Cons Trust Fu (080)'!G10</f>
        <v>39738.480000000003</v>
      </c>
      <c r="F8" s="110">
        <f>'Worksheet - Cons Trust Fu (080)'!H10</f>
        <v>43351.069090909092</v>
      </c>
      <c r="G8" s="110">
        <f>'Worksheet - Cons Trust Fu (080)'!I10</f>
        <v>38000</v>
      </c>
      <c r="H8" s="29"/>
    </row>
    <row r="9" spans="1:9">
      <c r="A9" s="93" t="s">
        <v>1090</v>
      </c>
      <c r="B9" s="110">
        <v>25.36</v>
      </c>
      <c r="C9" s="110">
        <f>'Worksheet - Cons Trust Fu (080)'!E14</f>
        <v>20</v>
      </c>
      <c r="D9" s="110">
        <f>'Worksheet - Cons Trust Fu (080)'!F14</f>
        <v>0</v>
      </c>
      <c r="E9" s="110">
        <f>'Worksheet - Cons Trust Fu (080)'!G14</f>
        <v>31.56</v>
      </c>
      <c r="F9" s="110">
        <f>'Worksheet - Cons Trust Fu (080)'!H14</f>
        <v>34.42909090909091</v>
      </c>
      <c r="G9" s="110">
        <f>'Worksheet - Cons Trust Fu (080)'!I14</f>
        <v>30</v>
      </c>
      <c r="H9" s="29"/>
    </row>
    <row r="10" spans="1:9" ht="15.75" thickBot="1">
      <c r="A10" s="108" t="s">
        <v>532</v>
      </c>
      <c r="B10" s="111">
        <f>SUM(B8:B9)</f>
        <v>38856.093000000001</v>
      </c>
      <c r="C10" s="111">
        <f t="shared" ref="C10:G10" si="0">SUM(C8:C9)</f>
        <v>38020</v>
      </c>
      <c r="D10" s="111">
        <f t="shared" si="0"/>
        <v>0</v>
      </c>
      <c r="E10" s="111">
        <f t="shared" si="0"/>
        <v>39770.04</v>
      </c>
      <c r="F10" s="111">
        <f t="shared" si="0"/>
        <v>43385.498181818184</v>
      </c>
      <c r="G10" s="111">
        <f t="shared" si="0"/>
        <v>38030</v>
      </c>
      <c r="H10" s="29"/>
    </row>
    <row r="11" spans="1:9" ht="15.75" thickTop="1">
      <c r="A11" s="33"/>
      <c r="B11" s="110"/>
      <c r="C11" s="110"/>
      <c r="D11" s="110"/>
      <c r="E11" s="110"/>
      <c r="F11" s="110"/>
      <c r="G11" s="110"/>
      <c r="H11" s="29"/>
    </row>
    <row r="12" spans="1:9">
      <c r="A12" s="33"/>
      <c r="B12" s="112" t="s">
        <v>6</v>
      </c>
      <c r="C12" s="112" t="s">
        <v>6</v>
      </c>
      <c r="D12" s="112"/>
      <c r="E12" s="112" t="s">
        <v>6</v>
      </c>
      <c r="F12" s="112" t="s">
        <v>6</v>
      </c>
      <c r="G12" s="112" t="s">
        <v>6</v>
      </c>
      <c r="H12" s="206"/>
      <c r="I12" s="29"/>
    </row>
    <row r="13" spans="1:9">
      <c r="A13" s="108" t="s">
        <v>898</v>
      </c>
      <c r="B13" s="112"/>
      <c r="C13" s="112"/>
      <c r="D13" s="112"/>
      <c r="E13" s="112"/>
      <c r="F13" s="112"/>
      <c r="G13" s="112"/>
      <c r="H13" s="206"/>
      <c r="I13" s="29"/>
    </row>
    <row r="14" spans="1:9">
      <c r="A14" s="95" t="s">
        <v>14</v>
      </c>
      <c r="B14" s="113">
        <v>7857</v>
      </c>
      <c r="C14" s="110">
        <f>'Worksheet - Cons Trust Fu (080)'!E24</f>
        <v>5000</v>
      </c>
      <c r="D14" s="110">
        <f>'Worksheet - Cons Trust Fu (080)'!F24</f>
        <v>0</v>
      </c>
      <c r="E14" s="110">
        <f>'Worksheet - Cons Trust Fu (080)'!G24</f>
        <v>4340</v>
      </c>
      <c r="F14" s="110">
        <f>'Worksheet - Cons Trust Fu (080)'!H24</f>
        <v>6040</v>
      </c>
      <c r="G14" s="110">
        <f>'Worksheet - Cons Trust Fu (080)'!I24</f>
        <v>20000</v>
      </c>
    </row>
    <row r="15" spans="1:9">
      <c r="A15" s="95" t="s">
        <v>204</v>
      </c>
      <c r="B15" s="113">
        <v>5596.07</v>
      </c>
      <c r="C15" s="110">
        <f>'Worksheet - Cons Trust Fu (080)'!E28</f>
        <v>0</v>
      </c>
      <c r="D15" s="110">
        <f>'Worksheet - Cons Trust Fu (080)'!F28</f>
        <v>0</v>
      </c>
      <c r="E15" s="110">
        <f>'Worksheet - Cons Trust Fu (080)'!G28</f>
        <v>0</v>
      </c>
      <c r="F15" s="110">
        <f>'Worksheet - Cons Trust Fu (080)'!H28</f>
        <v>0</v>
      </c>
      <c r="G15" s="110">
        <f>'Worksheet - Cons Trust Fu (080)'!I28</f>
        <v>2000</v>
      </c>
    </row>
    <row r="16" spans="1:9">
      <c r="A16" s="95" t="s">
        <v>217</v>
      </c>
      <c r="B16" s="113">
        <f>32805.72+4200+15771</f>
        <v>52776.72</v>
      </c>
      <c r="C16" s="110">
        <f>'Worksheet - Cons Trust Fu (080)'!E34</f>
        <v>12500</v>
      </c>
      <c r="D16" s="110">
        <f>'Worksheet - Cons Trust Fu (080)'!F34</f>
        <v>0</v>
      </c>
      <c r="E16" s="110">
        <f>'Worksheet - Cons Trust Fu (080)'!G34</f>
        <v>61808.200000000004</v>
      </c>
      <c r="F16" s="110">
        <f>'Worksheet - Cons Trust Fu (080)'!H34</f>
        <v>61808.200000000004</v>
      </c>
      <c r="G16" s="110">
        <f>'Worksheet - Cons Trust Fu (080)'!I34</f>
        <v>10000</v>
      </c>
    </row>
    <row r="17" spans="1:9">
      <c r="A17" s="95" t="s">
        <v>24</v>
      </c>
      <c r="B17" s="113">
        <v>0</v>
      </c>
      <c r="C17" s="110">
        <f>'Worksheet - Cons Trust Fu (080)'!E38</f>
        <v>0</v>
      </c>
      <c r="D17" s="110">
        <f>'Worksheet - Cons Trust Fu (080)'!F38</f>
        <v>0</v>
      </c>
      <c r="E17" s="110">
        <f>'Worksheet - Cons Trust Fu (080)'!G38</f>
        <v>0</v>
      </c>
      <c r="F17" s="110">
        <f>'Worksheet - Cons Trust Fu (080)'!H38</f>
        <v>0</v>
      </c>
      <c r="G17" s="110">
        <f>'Worksheet - Cons Trust Fu (080)'!I38</f>
        <v>30000</v>
      </c>
    </row>
    <row r="18" spans="1:9" ht="15.75" thickBot="1">
      <c r="A18" s="108" t="s">
        <v>2</v>
      </c>
      <c r="B18" s="111">
        <f>SUM(B14:B17)</f>
        <v>66229.790000000008</v>
      </c>
      <c r="C18" s="111">
        <f t="shared" ref="C18:G18" si="1">SUM(C14:C17)</f>
        <v>17500</v>
      </c>
      <c r="D18" s="111">
        <f t="shared" si="1"/>
        <v>0</v>
      </c>
      <c r="E18" s="111">
        <f t="shared" si="1"/>
        <v>66148.200000000012</v>
      </c>
      <c r="F18" s="111">
        <f t="shared" si="1"/>
        <v>67848.200000000012</v>
      </c>
      <c r="G18" s="111">
        <f t="shared" si="1"/>
        <v>62000</v>
      </c>
    </row>
    <row r="19" spans="1:9" ht="15.75" thickTop="1">
      <c r="A19" s="33"/>
      <c r="B19" s="114"/>
      <c r="C19" s="114"/>
      <c r="D19" s="114"/>
      <c r="E19" s="114"/>
      <c r="F19" s="114"/>
      <c r="G19" s="114"/>
      <c r="H19" s="29"/>
    </row>
    <row r="20" spans="1:9" ht="27" thickBot="1">
      <c r="A20" s="90" t="s">
        <v>867</v>
      </c>
      <c r="B20" s="132">
        <f>B10-B18</f>
        <v>-27373.697000000007</v>
      </c>
      <c r="C20" s="132">
        <f t="shared" ref="C20:G20" si="2">C10-C18</f>
        <v>20520</v>
      </c>
      <c r="D20" s="132">
        <f t="shared" si="2"/>
        <v>0</v>
      </c>
      <c r="E20" s="132">
        <f t="shared" si="2"/>
        <v>-26378.160000000011</v>
      </c>
      <c r="F20" s="132">
        <f t="shared" si="2"/>
        <v>-24462.701818181828</v>
      </c>
      <c r="G20" s="132">
        <f t="shared" si="2"/>
        <v>-23970</v>
      </c>
      <c r="H20" s="29"/>
    </row>
    <row r="21" spans="1:9" ht="15.75" thickTop="1">
      <c r="A21" s="29"/>
      <c r="B21" s="115"/>
      <c r="C21" s="115"/>
      <c r="D21" s="115"/>
      <c r="E21" s="115"/>
      <c r="F21" s="115"/>
      <c r="G21" s="115"/>
      <c r="H21" s="29"/>
    </row>
    <row r="22" spans="1:9">
      <c r="A22" s="18" t="s">
        <v>868</v>
      </c>
      <c r="B22" s="115"/>
      <c r="C22" s="115"/>
      <c r="D22" s="115"/>
      <c r="E22" s="115"/>
      <c r="F22" s="115"/>
      <c r="G22" s="115"/>
      <c r="H22" s="29"/>
    </row>
    <row r="23" spans="1:9">
      <c r="A23" s="95" t="s">
        <v>4</v>
      </c>
      <c r="B23" s="110">
        <v>0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29"/>
    </row>
    <row r="24" spans="1:9">
      <c r="A24" s="95" t="s">
        <v>5</v>
      </c>
      <c r="B24" s="110">
        <v>0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29"/>
    </row>
    <row r="25" spans="1:9" ht="15.75" thickBot="1">
      <c r="A25" s="18" t="s">
        <v>869</v>
      </c>
      <c r="B25" s="207">
        <f>SUM(B23:B24)</f>
        <v>0</v>
      </c>
      <c r="C25" s="207">
        <f t="shared" ref="C25:G25" si="3">SUM(C23:C24)</f>
        <v>0</v>
      </c>
      <c r="D25" s="207">
        <f t="shared" si="3"/>
        <v>0</v>
      </c>
      <c r="E25" s="207">
        <f t="shared" si="3"/>
        <v>0</v>
      </c>
      <c r="F25" s="207">
        <f t="shared" si="3"/>
        <v>0</v>
      </c>
      <c r="G25" s="207">
        <f t="shared" si="3"/>
        <v>0</v>
      </c>
      <c r="H25" s="29"/>
    </row>
    <row r="26" spans="1:9" ht="15.75" thickTop="1">
      <c r="A26" s="29"/>
      <c r="B26" s="115"/>
      <c r="C26" s="115"/>
      <c r="D26" s="115"/>
      <c r="E26" s="115"/>
      <c r="F26" s="115"/>
      <c r="G26" s="115"/>
      <c r="H26" s="29"/>
    </row>
    <row r="27" spans="1:9" ht="39.75" thickBot="1">
      <c r="A27" s="90" t="s">
        <v>871</v>
      </c>
      <c r="B27" s="133">
        <f>B20+B25</f>
        <v>-27373.697000000007</v>
      </c>
      <c r="C27" s="133">
        <f t="shared" ref="C27:G27" si="4">C20+C25</f>
        <v>20520</v>
      </c>
      <c r="D27" s="133">
        <f t="shared" si="4"/>
        <v>0</v>
      </c>
      <c r="E27" s="133">
        <f t="shared" si="4"/>
        <v>-26378.160000000011</v>
      </c>
      <c r="F27" s="133">
        <f t="shared" si="4"/>
        <v>-24462.701818181828</v>
      </c>
      <c r="G27" s="133">
        <f t="shared" si="4"/>
        <v>-23970</v>
      </c>
      <c r="H27" s="29"/>
    </row>
    <row r="28" spans="1:9" ht="15.75" thickTop="1">
      <c r="A28" s="29"/>
      <c r="B28" s="115"/>
      <c r="C28" s="115"/>
      <c r="D28" s="115"/>
      <c r="E28" s="115"/>
      <c r="F28" s="115"/>
      <c r="G28" s="115"/>
      <c r="H28" s="206"/>
      <c r="I28" s="29"/>
    </row>
    <row r="29" spans="1:9" s="4" customFormat="1">
      <c r="A29" s="93" t="s">
        <v>7</v>
      </c>
      <c r="B29" s="113">
        <v>160096</v>
      </c>
      <c r="C29" s="113">
        <f>B30</f>
        <v>132722.30299999999</v>
      </c>
      <c r="D29" s="113"/>
      <c r="E29" s="113">
        <v>132722</v>
      </c>
      <c r="F29" s="113">
        <v>132722</v>
      </c>
      <c r="G29" s="113">
        <f>F30</f>
        <v>108259.29818181817</v>
      </c>
      <c r="I29" s="33"/>
    </row>
    <row r="30" spans="1:9" ht="15.75" thickBot="1">
      <c r="A30" s="87" t="s">
        <v>873</v>
      </c>
      <c r="B30" s="111">
        <f>B29+B27</f>
        <v>132722.30299999999</v>
      </c>
      <c r="C30" s="111">
        <f>C29+C27</f>
        <v>153242.30299999999</v>
      </c>
      <c r="D30" s="111"/>
      <c r="E30" s="111">
        <f t="shared" ref="E30:G30" si="5">E29+E27</f>
        <v>106343.84</v>
      </c>
      <c r="F30" s="111">
        <f t="shared" si="5"/>
        <v>108259.29818181817</v>
      </c>
      <c r="G30" s="111">
        <f t="shared" si="5"/>
        <v>84289.298181818172</v>
      </c>
      <c r="H30" s="206"/>
      <c r="I30" s="29"/>
    </row>
    <row r="31" spans="1:9" ht="15.75" thickTop="1">
      <c r="A31" s="29"/>
      <c r="B31" s="115"/>
      <c r="C31" s="115"/>
      <c r="D31" s="115"/>
      <c r="E31" s="115"/>
      <c r="F31" s="115"/>
      <c r="G31" s="115"/>
      <c r="H31" s="206"/>
      <c r="I31" s="29"/>
    </row>
    <row r="32" spans="1:9">
      <c r="A32" s="87" t="s">
        <v>874</v>
      </c>
      <c r="B32" s="115"/>
      <c r="C32" s="115"/>
      <c r="D32" s="115"/>
      <c r="E32" s="115"/>
      <c r="F32" s="115"/>
      <c r="G32" s="115"/>
      <c r="H32" s="206"/>
      <c r="I32" s="29"/>
    </row>
    <row r="33" spans="1:9">
      <c r="A33" s="87"/>
      <c r="B33" s="115"/>
      <c r="C33" s="115"/>
      <c r="D33" s="115"/>
      <c r="E33" s="115"/>
      <c r="F33" s="115"/>
      <c r="G33" s="115"/>
      <c r="H33" s="206"/>
      <c r="I33" s="29"/>
    </row>
    <row r="34" spans="1:9">
      <c r="A34" s="87" t="s">
        <v>875</v>
      </c>
      <c r="B34" s="110" t="s">
        <v>6</v>
      </c>
      <c r="C34" s="110" t="s">
        <v>6</v>
      </c>
      <c r="D34" s="110"/>
      <c r="E34" s="110" t="s">
        <v>6</v>
      </c>
      <c r="F34" s="110" t="s">
        <v>6</v>
      </c>
      <c r="G34" s="110" t="s">
        <v>6</v>
      </c>
      <c r="H34" s="206"/>
      <c r="I34" s="29"/>
    </row>
    <row r="35" spans="1:9">
      <c r="A35" s="95" t="s">
        <v>8</v>
      </c>
      <c r="B35" s="110">
        <v>0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206"/>
      <c r="I35" s="29"/>
    </row>
    <row r="36" spans="1:9">
      <c r="A36" s="95" t="s">
        <v>9</v>
      </c>
      <c r="B36" s="110">
        <v>0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206"/>
      <c r="I36" s="29"/>
    </row>
    <row r="37" spans="1:9" ht="15.75" thickBot="1">
      <c r="A37" s="87" t="s">
        <v>876</v>
      </c>
      <c r="B37" s="207">
        <f t="shared" ref="B37:G37" si="6">SUM(B34:B36)</f>
        <v>0</v>
      </c>
      <c r="C37" s="207">
        <f t="shared" si="6"/>
        <v>0</v>
      </c>
      <c r="D37" s="207">
        <f t="shared" si="6"/>
        <v>0</v>
      </c>
      <c r="E37" s="207">
        <f t="shared" si="6"/>
        <v>0</v>
      </c>
      <c r="F37" s="207">
        <f t="shared" si="6"/>
        <v>0</v>
      </c>
      <c r="G37" s="207">
        <f t="shared" si="6"/>
        <v>0</v>
      </c>
      <c r="H37" s="206"/>
      <c r="I37" s="29"/>
    </row>
    <row r="38" spans="1:9" ht="15.75" thickTop="1">
      <c r="A38" s="87"/>
      <c r="B38" s="136"/>
      <c r="C38" s="136"/>
      <c r="D38" s="136"/>
      <c r="E38" s="136"/>
      <c r="F38" s="136"/>
      <c r="G38" s="136"/>
      <c r="H38" s="206"/>
      <c r="I38" s="29"/>
    </row>
    <row r="39" spans="1:9" ht="15.75" thickBot="1">
      <c r="A39" s="87" t="s">
        <v>877</v>
      </c>
      <c r="B39" s="111">
        <f>B30-B37</f>
        <v>132722.30299999999</v>
      </c>
      <c r="C39" s="111">
        <f t="shared" ref="C39:G39" si="7">C30-C37</f>
        <v>153242.30299999999</v>
      </c>
      <c r="D39" s="111">
        <f t="shared" si="7"/>
        <v>0</v>
      </c>
      <c r="E39" s="111">
        <f t="shared" si="7"/>
        <v>106343.84</v>
      </c>
      <c r="F39" s="111">
        <f t="shared" si="7"/>
        <v>108259.29818181817</v>
      </c>
      <c r="G39" s="111">
        <f t="shared" si="7"/>
        <v>84289.298181818172</v>
      </c>
      <c r="H39" s="29"/>
    </row>
    <row r="40" spans="1:9" ht="15.75" thickTop="1">
      <c r="A40" s="29"/>
      <c r="B40" s="29"/>
      <c r="C40" s="29"/>
      <c r="D40" s="29"/>
      <c r="E40" s="29"/>
      <c r="F40" s="29"/>
      <c r="G40" s="29"/>
      <c r="H40" s="29"/>
      <c r="I40" s="29"/>
    </row>
    <row r="41" spans="1:9">
      <c r="A41" s="33"/>
      <c r="B41" s="114"/>
      <c r="C41" s="114"/>
      <c r="D41" s="114"/>
      <c r="E41" s="114"/>
      <c r="F41" s="114"/>
      <c r="G41" s="114"/>
      <c r="H41" s="29"/>
      <c r="I41" s="29"/>
    </row>
    <row r="42" spans="1:9">
      <c r="A42" s="33" t="s">
        <v>6</v>
      </c>
      <c r="B42" s="114"/>
      <c r="C42" s="114"/>
      <c r="D42" s="114"/>
      <c r="E42" s="114"/>
      <c r="F42" s="114"/>
      <c r="G42" s="114"/>
      <c r="H42" s="29"/>
      <c r="I42" s="29"/>
    </row>
    <row r="43" spans="1:9">
      <c r="A43" s="33"/>
      <c r="B43" s="114"/>
      <c r="C43" s="114"/>
      <c r="D43" s="114"/>
      <c r="E43" s="114"/>
      <c r="F43" s="114"/>
      <c r="G43" s="114"/>
      <c r="H43" s="29"/>
      <c r="I43" s="29"/>
    </row>
    <row r="44" spans="1:9">
      <c r="A44" s="33"/>
      <c r="B44" s="114"/>
      <c r="C44" s="114"/>
      <c r="D44" s="114"/>
      <c r="E44" s="114"/>
      <c r="F44" s="114"/>
      <c r="G44" s="114"/>
      <c r="H44" s="29"/>
      <c r="I44" s="29"/>
    </row>
    <row r="45" spans="1:9">
      <c r="A45" s="33"/>
      <c r="B45" s="114"/>
      <c r="C45" s="114"/>
      <c r="D45" s="114"/>
      <c r="E45" s="114"/>
      <c r="F45" s="114"/>
      <c r="G45" s="114"/>
      <c r="H45" s="29"/>
      <c r="I45" s="29"/>
    </row>
    <row r="46" spans="1:9">
      <c r="A46" s="33"/>
      <c r="B46" s="114"/>
      <c r="C46" s="114"/>
      <c r="D46" s="114"/>
      <c r="E46" s="114"/>
      <c r="F46" s="114"/>
      <c r="G46" s="114"/>
      <c r="H46" s="29"/>
      <c r="I46" s="29"/>
    </row>
  </sheetData>
  <mergeCells count="2">
    <mergeCell ref="A1:G1"/>
    <mergeCell ref="A2:G2"/>
  </mergeCells>
  <pageMargins left="0.7" right="0.7" top="0.75" bottom="0.75" header="0.3" footer="0.3"/>
  <pageSetup scale="71" fitToHeight="0" orientation="portrait" r:id="rId1"/>
  <headerFooter>
    <oddFooter>&amp;CConservation Trust Fund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41"/>
  <sheetViews>
    <sheetView topLeftCell="A7" workbookViewId="0">
      <selection activeCell="I37" sqref="I37"/>
    </sheetView>
  </sheetViews>
  <sheetFormatPr defaultRowHeight="15"/>
  <cols>
    <col min="1" max="1" width="10.7109375" customWidth="1"/>
    <col min="2" max="2" width="5.7109375" customWidth="1"/>
    <col min="3" max="3" width="39.140625" bestFit="1" customWidth="1"/>
    <col min="4" max="4" width="5.7109375" customWidth="1"/>
    <col min="6" max="6" width="17.42578125" style="7" bestFit="1" customWidth="1"/>
    <col min="7" max="7" width="12.7109375" style="7" customWidth="1"/>
    <col min="8" max="8" width="12.7109375" style="7" hidden="1" customWidth="1"/>
    <col min="9" max="9" width="12.7109375" style="7" customWidth="1"/>
    <col min="10" max="10" width="35.7109375" style="7" hidden="1" customWidth="1"/>
    <col min="11" max="11" width="12.7109375" style="7" customWidth="1"/>
    <col min="12" max="12" width="30.5703125" customWidth="1"/>
  </cols>
  <sheetData>
    <row r="1" spans="1:13">
      <c r="A1" s="251" t="s">
        <v>1077</v>
      </c>
      <c r="B1" s="251"/>
      <c r="C1" s="251"/>
      <c r="D1" s="251"/>
      <c r="E1" s="251"/>
      <c r="F1" s="31"/>
      <c r="G1" s="29"/>
      <c r="H1" s="29"/>
      <c r="I1" s="29"/>
      <c r="J1" s="29"/>
      <c r="K1" s="129"/>
      <c r="L1" s="129"/>
      <c r="M1" s="129"/>
    </row>
    <row r="2" spans="1:13">
      <c r="A2" s="175"/>
      <c r="B2" s="175"/>
      <c r="C2" s="175"/>
      <c r="D2" s="175"/>
      <c r="E2" s="31"/>
      <c r="F2" s="29"/>
      <c r="G2" s="29"/>
      <c r="H2" s="29"/>
      <c r="I2" s="29"/>
      <c r="J2" s="129"/>
      <c r="K2" s="129"/>
      <c r="L2" s="129"/>
    </row>
    <row r="3" spans="1:13">
      <c r="A3" s="29"/>
      <c r="B3" s="29"/>
      <c r="C3" s="129"/>
      <c r="D3" s="129"/>
      <c r="E3" s="63">
        <v>2019</v>
      </c>
      <c r="F3" s="63">
        <v>2019</v>
      </c>
      <c r="G3" s="51">
        <v>2019</v>
      </c>
      <c r="H3" s="51">
        <v>2019</v>
      </c>
      <c r="I3" s="64" t="s">
        <v>839</v>
      </c>
      <c r="J3" s="176" t="s">
        <v>887</v>
      </c>
      <c r="K3" s="129"/>
      <c r="L3" s="129"/>
    </row>
    <row r="4" spans="1:13">
      <c r="A4" s="29"/>
      <c r="B4" s="29"/>
      <c r="C4" s="129"/>
      <c r="D4" s="129"/>
      <c r="E4" s="66" t="s">
        <v>862</v>
      </c>
      <c r="F4" s="66" t="s">
        <v>863</v>
      </c>
      <c r="G4" s="66" t="s">
        <v>1147</v>
      </c>
      <c r="H4" s="66" t="s">
        <v>909</v>
      </c>
      <c r="I4" s="67" t="s">
        <v>826</v>
      </c>
      <c r="J4" s="18"/>
      <c r="K4" s="129"/>
      <c r="L4" s="129"/>
    </row>
    <row r="5" spans="1:13">
      <c r="A5" s="19"/>
      <c r="B5" s="20"/>
      <c r="C5" s="129"/>
      <c r="D5" s="29"/>
      <c r="E5" s="29"/>
      <c r="F5" s="29"/>
      <c r="G5" s="29"/>
      <c r="H5" s="29"/>
      <c r="I5" s="29"/>
      <c r="J5" s="129"/>
      <c r="K5" s="129"/>
      <c r="L5" s="129"/>
    </row>
    <row r="6" spans="1:13">
      <c r="A6" s="18" t="s">
        <v>1078</v>
      </c>
      <c r="B6" s="129"/>
      <c r="C6" s="129"/>
      <c r="D6" s="129"/>
      <c r="E6" s="201"/>
      <c r="F6" s="201"/>
      <c r="G6" s="201"/>
      <c r="H6" s="201"/>
      <c r="I6" s="201"/>
      <c r="J6" s="201"/>
      <c r="K6"/>
    </row>
    <row r="7" spans="1:13">
      <c r="A7" s="18"/>
      <c r="B7" s="129"/>
      <c r="C7" s="129"/>
      <c r="D7" s="129"/>
      <c r="E7" s="201"/>
      <c r="F7" s="201"/>
      <c r="G7" s="201"/>
      <c r="H7" s="201"/>
      <c r="I7" s="201"/>
      <c r="J7" s="201"/>
      <c r="K7"/>
    </row>
    <row r="8" spans="1:13">
      <c r="A8" s="18"/>
      <c r="B8" s="129"/>
      <c r="C8" s="18" t="s">
        <v>1079</v>
      </c>
      <c r="D8" s="129"/>
      <c r="E8" s="201"/>
      <c r="F8" s="201"/>
      <c r="G8" s="201"/>
      <c r="H8" s="201"/>
      <c r="I8" s="201"/>
      <c r="J8" s="201"/>
      <c r="K8"/>
    </row>
    <row r="9" spans="1:13">
      <c r="A9" s="29" t="s">
        <v>700</v>
      </c>
      <c r="B9" s="29"/>
      <c r="C9" s="95" t="s">
        <v>25</v>
      </c>
      <c r="D9" s="29"/>
      <c r="E9" s="30">
        <v>38000</v>
      </c>
      <c r="F9" s="30">
        <v>0</v>
      </c>
      <c r="G9" s="30">
        <v>39738.480000000003</v>
      </c>
      <c r="H9" s="30">
        <f>(G9/11)*12</f>
        <v>43351.069090909092</v>
      </c>
      <c r="I9" s="30">
        <v>38000</v>
      </c>
      <c r="J9" s="30"/>
      <c r="K9"/>
    </row>
    <row r="10" spans="1:13" s="3" customFormat="1" ht="15.75" thickBot="1">
      <c r="A10" s="18"/>
      <c r="B10" s="18"/>
      <c r="C10" s="18" t="s">
        <v>1080</v>
      </c>
      <c r="D10" s="18"/>
      <c r="E10" s="99">
        <f>SUM(E9)</f>
        <v>38000</v>
      </c>
      <c r="F10" s="99">
        <f>SUM(F9)</f>
        <v>0</v>
      </c>
      <c r="G10" s="99">
        <f t="shared" ref="G10:I10" si="0">SUM(G9)</f>
        <v>39738.480000000003</v>
      </c>
      <c r="H10" s="99">
        <f>SUM(H9)</f>
        <v>43351.069090909092</v>
      </c>
      <c r="I10" s="99">
        <f t="shared" si="0"/>
        <v>38000</v>
      </c>
      <c r="J10" s="125"/>
    </row>
    <row r="11" spans="1:13" ht="15.75" thickTop="1">
      <c r="A11" s="29"/>
      <c r="B11" s="29"/>
      <c r="C11" s="29"/>
      <c r="D11" s="29"/>
      <c r="E11" s="31"/>
      <c r="F11" s="31"/>
      <c r="G11" s="31"/>
      <c r="H11" s="31"/>
      <c r="I11" s="31"/>
      <c r="J11" s="31"/>
      <c r="K11"/>
    </row>
    <row r="12" spans="1:13">
      <c r="A12" s="29"/>
      <c r="B12" s="29"/>
      <c r="C12" s="18" t="s">
        <v>699</v>
      </c>
      <c r="D12" s="29"/>
      <c r="E12" s="31"/>
      <c r="F12" s="31"/>
      <c r="G12" s="31"/>
      <c r="H12" s="31"/>
      <c r="I12" s="31"/>
      <c r="J12" s="31"/>
      <c r="K12"/>
    </row>
    <row r="13" spans="1:13">
      <c r="A13" s="29" t="s">
        <v>701</v>
      </c>
      <c r="B13" s="29"/>
      <c r="C13" s="95" t="s">
        <v>699</v>
      </c>
      <c r="D13" s="29"/>
      <c r="E13" s="30">
        <v>20</v>
      </c>
      <c r="F13" s="30">
        <v>0</v>
      </c>
      <c r="G13" s="30">
        <v>31.56</v>
      </c>
      <c r="H13" s="30">
        <f>(G13/11)*12</f>
        <v>34.42909090909091</v>
      </c>
      <c r="I13" s="30">
        <v>30</v>
      </c>
      <c r="J13" s="30"/>
      <c r="K13"/>
    </row>
    <row r="14" spans="1:13" s="3" customFormat="1" ht="15.75" thickBot="1">
      <c r="A14" s="18"/>
      <c r="B14" s="18"/>
      <c r="C14" s="18" t="s">
        <v>169</v>
      </c>
      <c r="D14" s="18"/>
      <c r="E14" s="99">
        <f>SUM(E13)</f>
        <v>20</v>
      </c>
      <c r="F14" s="99">
        <f>SUM(F13)</f>
        <v>0</v>
      </c>
      <c r="G14" s="99">
        <f t="shared" ref="G14:I14" si="1">SUM(G13)</f>
        <v>31.56</v>
      </c>
      <c r="H14" s="99">
        <f>SUM(H13)</f>
        <v>34.42909090909091</v>
      </c>
      <c r="I14" s="99">
        <f t="shared" si="1"/>
        <v>30</v>
      </c>
      <c r="J14" s="125"/>
    </row>
    <row r="15" spans="1:13" ht="15.75" thickTop="1">
      <c r="A15" s="29"/>
      <c r="B15" s="29"/>
      <c r="C15" s="29"/>
      <c r="D15" s="29"/>
      <c r="E15" s="31"/>
      <c r="F15" s="31"/>
      <c r="G15" s="31"/>
      <c r="H15" s="31"/>
      <c r="I15" s="31"/>
      <c r="J15" s="31"/>
      <c r="K15"/>
    </row>
    <row r="16" spans="1:13" s="3" customFormat="1" ht="15.75" thickBot="1">
      <c r="A16" s="18" t="s">
        <v>1081</v>
      </c>
      <c r="B16" s="18"/>
      <c r="C16" s="18"/>
      <c r="D16" s="18"/>
      <c r="E16" s="36">
        <f>E10+E14</f>
        <v>38020</v>
      </c>
      <c r="F16" s="36">
        <f>F10+F14</f>
        <v>0</v>
      </c>
      <c r="G16" s="36">
        <f t="shared" ref="G16:I16" si="2">G10+G14</f>
        <v>39770.04</v>
      </c>
      <c r="H16" s="36">
        <f t="shared" si="2"/>
        <v>43385.498181818184</v>
      </c>
      <c r="I16" s="36">
        <f t="shared" si="2"/>
        <v>38030</v>
      </c>
      <c r="J16" s="208"/>
    </row>
    <row r="17" spans="1:11" ht="15.75" thickTop="1">
      <c r="A17" s="29"/>
      <c r="B17" s="29"/>
      <c r="C17" s="29"/>
      <c r="D17" s="29"/>
      <c r="E17" s="31"/>
      <c r="F17" s="31"/>
      <c r="G17" s="31"/>
      <c r="H17" s="31"/>
      <c r="I17" s="31"/>
      <c r="J17" s="31"/>
      <c r="K17"/>
    </row>
    <row r="18" spans="1:11">
      <c r="A18" s="29"/>
      <c r="B18" s="29"/>
      <c r="C18" s="29"/>
      <c r="D18" s="29"/>
      <c r="E18" s="31"/>
      <c r="F18" s="31"/>
      <c r="G18" s="31"/>
      <c r="H18" s="31"/>
      <c r="I18" s="31"/>
      <c r="J18" s="31"/>
      <c r="K18"/>
    </row>
    <row r="19" spans="1:11">
      <c r="A19" s="29"/>
      <c r="B19" s="29"/>
      <c r="C19" s="29"/>
      <c r="D19" s="29"/>
      <c r="E19" s="31"/>
      <c r="F19" s="31"/>
      <c r="G19" s="31"/>
      <c r="H19" s="31"/>
      <c r="I19" s="31"/>
      <c r="J19" s="31"/>
      <c r="K19"/>
    </row>
    <row r="20" spans="1:11">
      <c r="A20" s="18" t="s">
        <v>1082</v>
      </c>
      <c r="B20" s="29"/>
      <c r="C20" s="29"/>
      <c r="D20" s="29"/>
      <c r="E20" s="31"/>
      <c r="F20" s="31"/>
      <c r="G20" s="31"/>
      <c r="H20" s="31"/>
      <c r="I20" s="31"/>
      <c r="J20" s="31"/>
      <c r="K20"/>
    </row>
    <row r="21" spans="1:11">
      <c r="A21" s="18"/>
      <c r="B21" s="29"/>
      <c r="C21" s="29"/>
      <c r="D21" s="29"/>
      <c r="E21" s="31"/>
      <c r="F21" s="31"/>
      <c r="G21" s="31"/>
      <c r="H21" s="31"/>
      <c r="I21" s="31"/>
      <c r="J21" s="31"/>
      <c r="K21"/>
    </row>
    <row r="22" spans="1:11">
      <c r="A22" s="18"/>
      <c r="B22" s="29"/>
      <c r="C22" s="18" t="s">
        <v>1083</v>
      </c>
      <c r="D22" s="29"/>
      <c r="E22" s="31"/>
      <c r="F22" s="31"/>
      <c r="G22" s="31"/>
      <c r="H22" s="31"/>
      <c r="I22" s="31"/>
      <c r="J22" s="31"/>
      <c r="K22"/>
    </row>
    <row r="23" spans="1:11">
      <c r="A23" s="29" t="s">
        <v>702</v>
      </c>
      <c r="B23" s="29"/>
      <c r="C23" s="95" t="s">
        <v>703</v>
      </c>
      <c r="D23" s="29"/>
      <c r="E23" s="30">
        <v>5000</v>
      </c>
      <c r="F23" s="30">
        <v>0</v>
      </c>
      <c r="G23" s="30">
        <v>4340</v>
      </c>
      <c r="H23" s="30">
        <v>6040</v>
      </c>
      <c r="I23" s="30">
        <v>20000</v>
      </c>
      <c r="J23" s="30"/>
      <c r="K23"/>
    </row>
    <row r="24" spans="1:11" s="3" customFormat="1" ht="15.75" thickBot="1">
      <c r="A24" s="18"/>
      <c r="B24" s="18"/>
      <c r="C24" s="18" t="s">
        <v>1084</v>
      </c>
      <c r="D24" s="18"/>
      <c r="E24" s="99">
        <f>SUM(E23:E23)</f>
        <v>5000</v>
      </c>
      <c r="F24" s="99">
        <f>SUM(F23:F23)</f>
        <v>0</v>
      </c>
      <c r="G24" s="99">
        <f>SUM(G23:G23)</f>
        <v>4340</v>
      </c>
      <c r="H24" s="99">
        <f>SUM(H23:H23)</f>
        <v>6040</v>
      </c>
      <c r="I24" s="99">
        <f>SUM(I23:I23)</f>
        <v>20000</v>
      </c>
      <c r="J24" s="125"/>
    </row>
    <row r="25" spans="1:11" ht="15.75" thickTop="1">
      <c r="A25" s="29"/>
      <c r="B25" s="29"/>
      <c r="C25" s="29"/>
      <c r="D25" s="29"/>
      <c r="E25" s="31"/>
      <c r="F25" s="31"/>
      <c r="G25" s="31"/>
      <c r="H25" s="31"/>
      <c r="I25" s="31"/>
      <c r="J25" s="31"/>
      <c r="K25"/>
    </row>
    <row r="26" spans="1:11">
      <c r="A26" s="29"/>
      <c r="B26" s="29"/>
      <c r="C26" s="18" t="s">
        <v>1085</v>
      </c>
      <c r="D26" s="29"/>
      <c r="E26" s="31"/>
      <c r="F26" s="31"/>
      <c r="G26" s="31"/>
      <c r="H26" s="31"/>
      <c r="I26" s="31"/>
      <c r="J26" s="31"/>
      <c r="K26"/>
    </row>
    <row r="27" spans="1:11">
      <c r="A27" s="29" t="s">
        <v>704</v>
      </c>
      <c r="B27" s="29"/>
      <c r="C27" s="95" t="s">
        <v>705</v>
      </c>
      <c r="D27" s="29"/>
      <c r="E27" s="30">
        <v>0</v>
      </c>
      <c r="F27" s="30">
        <v>0</v>
      </c>
      <c r="G27" s="30">
        <v>0</v>
      </c>
      <c r="H27" s="30">
        <v>0</v>
      </c>
      <c r="I27" s="30">
        <v>2000</v>
      </c>
      <c r="J27" s="30"/>
      <c r="K27"/>
    </row>
    <row r="28" spans="1:11" s="3" customFormat="1" ht="15.75" thickBot="1">
      <c r="A28" s="18"/>
      <c r="B28" s="18"/>
      <c r="C28" s="177" t="s">
        <v>1086</v>
      </c>
      <c r="D28" s="18"/>
      <c r="E28" s="99">
        <f>SUM(E27)</f>
        <v>0</v>
      </c>
      <c r="F28" s="99">
        <f>SUM(F27)</f>
        <v>0</v>
      </c>
      <c r="G28" s="99">
        <f t="shared" ref="G28:I28" si="3">SUM(G27)</f>
        <v>0</v>
      </c>
      <c r="H28" s="99">
        <f t="shared" si="3"/>
        <v>0</v>
      </c>
      <c r="I28" s="99">
        <f t="shared" si="3"/>
        <v>2000</v>
      </c>
      <c r="J28" s="125"/>
    </row>
    <row r="29" spans="1:11" ht="15.75" thickTop="1">
      <c r="A29" s="29"/>
      <c r="B29" s="29"/>
      <c r="C29" s="29"/>
      <c r="D29" s="29"/>
      <c r="E29" s="31"/>
      <c r="F29" s="31"/>
      <c r="G29" s="31"/>
      <c r="H29" s="31"/>
      <c r="I29" s="31"/>
      <c r="J29" s="31"/>
      <c r="K29"/>
    </row>
    <row r="30" spans="1:11">
      <c r="A30" s="29"/>
      <c r="B30" s="29"/>
      <c r="C30" s="18" t="s">
        <v>217</v>
      </c>
      <c r="D30" s="29"/>
      <c r="E30" s="31"/>
      <c r="F30" s="31"/>
      <c r="G30" s="31"/>
      <c r="H30" s="31"/>
      <c r="I30" s="31"/>
      <c r="J30" s="31"/>
      <c r="K30"/>
    </row>
    <row r="31" spans="1:11">
      <c r="A31" s="29" t="s">
        <v>706</v>
      </c>
      <c r="B31" s="29"/>
      <c r="C31" s="95" t="s">
        <v>707</v>
      </c>
      <c r="D31" s="29"/>
      <c r="E31" s="30">
        <v>2500</v>
      </c>
      <c r="F31" s="30">
        <v>0</v>
      </c>
      <c r="G31" s="30">
        <v>56594.9</v>
      </c>
      <c r="H31" s="30">
        <v>56594.9</v>
      </c>
      <c r="I31" s="30">
        <v>10000</v>
      </c>
      <c r="J31" s="30"/>
      <c r="K31"/>
    </row>
    <row r="32" spans="1:11">
      <c r="A32" s="29" t="s">
        <v>708</v>
      </c>
      <c r="B32" s="29"/>
      <c r="C32" s="95" t="s">
        <v>709</v>
      </c>
      <c r="D32" s="29"/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/>
      <c r="K32"/>
    </row>
    <row r="33" spans="1:11">
      <c r="A33" s="29" t="s">
        <v>710</v>
      </c>
      <c r="B33" s="29"/>
      <c r="C33" s="95" t="s">
        <v>711</v>
      </c>
      <c r="D33" s="29"/>
      <c r="E33" s="30">
        <v>10000</v>
      </c>
      <c r="F33" s="30">
        <v>0</v>
      </c>
      <c r="G33" s="30">
        <v>5213.3</v>
      </c>
      <c r="H33" s="30">
        <v>5213.3</v>
      </c>
      <c r="I33" s="30">
        <v>0</v>
      </c>
      <c r="J33" s="30"/>
      <c r="K33"/>
    </row>
    <row r="34" spans="1:11" s="3" customFormat="1" ht="15.75" thickBot="1">
      <c r="A34" s="18"/>
      <c r="B34" s="18"/>
      <c r="C34" s="18" t="s">
        <v>961</v>
      </c>
      <c r="D34" s="18"/>
      <c r="E34" s="99">
        <f>SUM(E31:E33)</f>
        <v>12500</v>
      </c>
      <c r="F34" s="99">
        <f>SUM(F31:F33)</f>
        <v>0</v>
      </c>
      <c r="G34" s="99">
        <f t="shared" ref="G34:I34" si="4">SUM(G31:G33)</f>
        <v>61808.200000000004</v>
      </c>
      <c r="H34" s="99">
        <f t="shared" si="4"/>
        <v>61808.200000000004</v>
      </c>
      <c r="I34" s="99">
        <f t="shared" si="4"/>
        <v>10000</v>
      </c>
      <c r="J34" s="125"/>
    </row>
    <row r="35" spans="1:11" ht="15.75" thickTop="1">
      <c r="A35" s="29"/>
      <c r="B35" s="29"/>
      <c r="C35" s="29"/>
      <c r="D35" s="29"/>
      <c r="E35" s="31"/>
      <c r="F35" s="31"/>
      <c r="G35" s="31"/>
      <c r="H35" s="31"/>
      <c r="I35" s="31"/>
      <c r="J35" s="31"/>
      <c r="K35"/>
    </row>
    <row r="36" spans="1:11">
      <c r="A36" s="29"/>
      <c r="B36" s="29"/>
      <c r="C36" s="18" t="s">
        <v>1087</v>
      </c>
      <c r="D36" s="29"/>
      <c r="E36" s="31"/>
      <c r="F36" s="31"/>
      <c r="G36" s="31"/>
      <c r="H36" s="31"/>
      <c r="I36" s="31"/>
      <c r="J36" s="31"/>
      <c r="K36"/>
    </row>
    <row r="37" spans="1:11">
      <c r="A37" s="29" t="s">
        <v>713</v>
      </c>
      <c r="B37" s="29"/>
      <c r="C37" s="95" t="s">
        <v>712</v>
      </c>
      <c r="D37" s="29"/>
      <c r="E37" s="30">
        <v>0</v>
      </c>
      <c r="F37" s="30">
        <v>0</v>
      </c>
      <c r="G37" s="30">
        <v>0</v>
      </c>
      <c r="H37" s="30">
        <v>0</v>
      </c>
      <c r="I37" s="30">
        <v>30000</v>
      </c>
      <c r="J37" s="30"/>
      <c r="K37"/>
    </row>
    <row r="38" spans="1:11" s="3" customFormat="1" ht="15.75" thickBot="1">
      <c r="A38" s="18"/>
      <c r="B38" s="18"/>
      <c r="C38" s="18" t="s">
        <v>980</v>
      </c>
      <c r="D38" s="18"/>
      <c r="E38" s="99">
        <f>SUM(E37:E37)</f>
        <v>0</v>
      </c>
      <c r="F38" s="99">
        <f>SUM(F37:F37)</f>
        <v>0</v>
      </c>
      <c r="G38" s="99">
        <f>SUM(G37:G37)</f>
        <v>0</v>
      </c>
      <c r="H38" s="99">
        <f>SUM(H37:H37)</f>
        <v>0</v>
      </c>
      <c r="I38" s="99">
        <f>SUM(I37:I37)</f>
        <v>30000</v>
      </c>
      <c r="J38" s="125"/>
    </row>
    <row r="39" spans="1:11" ht="15.75" thickTop="1">
      <c r="A39" s="29"/>
      <c r="B39" s="29"/>
      <c r="C39" s="29"/>
      <c r="D39" s="29"/>
      <c r="E39" s="31"/>
      <c r="F39" s="31"/>
      <c r="G39" s="31"/>
      <c r="H39" s="31"/>
      <c r="I39" s="31"/>
      <c r="J39" s="31"/>
      <c r="K39"/>
    </row>
    <row r="40" spans="1:11">
      <c r="A40" s="29"/>
      <c r="B40" s="29"/>
      <c r="C40" s="29"/>
      <c r="D40" s="29"/>
      <c r="E40" s="31"/>
      <c r="F40" s="31"/>
      <c r="G40" s="31"/>
      <c r="H40" s="31"/>
      <c r="I40" s="31"/>
      <c r="J40" s="31"/>
      <c r="K40"/>
    </row>
    <row r="41" spans="1:11">
      <c r="A41" s="29"/>
      <c r="B41" s="29"/>
      <c r="C41" s="29"/>
      <c r="D41" s="29"/>
      <c r="E41" s="31"/>
      <c r="F41" s="31"/>
      <c r="G41" s="31"/>
      <c r="H41" s="31"/>
      <c r="I41" s="31"/>
      <c r="J41" s="31"/>
      <c r="K41"/>
    </row>
  </sheetData>
  <mergeCells count="1">
    <mergeCell ref="A1:E1"/>
  </mergeCells>
  <pageMargins left="0.7" right="0.7" top="0.75" bottom="0.75" header="0.3" footer="0.3"/>
  <pageSetup scale="75" fitToHeight="0" orientation="landscape" r:id="rId1"/>
  <headerFooter>
    <oddFooter>&amp;L&amp;D&amp;CWorksheet
Page &amp;P&amp;R&amp;T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01EE-A596-4DB8-B8A3-21985AF43597}">
  <dimension ref="A1:G33"/>
  <sheetViews>
    <sheetView workbookViewId="0">
      <selection activeCell="G30" sqref="G30"/>
    </sheetView>
  </sheetViews>
  <sheetFormatPr defaultRowHeight="12.75"/>
  <cols>
    <col min="1" max="1" width="34.85546875" style="29" customWidth="1"/>
    <col min="2" max="2" width="13.140625" style="114" customWidth="1"/>
    <col min="3" max="3" width="14.28515625" style="114" bestFit="1" customWidth="1"/>
    <col min="4" max="4" width="14.7109375" style="114" customWidth="1"/>
    <col min="5" max="5" width="14.28515625" style="114" bestFit="1" customWidth="1"/>
    <col min="6" max="6" width="13.28515625" style="114" hidden="1" customWidth="1"/>
    <col min="7" max="7" width="14.28515625" style="114" bestFit="1" customWidth="1"/>
    <col min="8" max="16384" width="9.140625" style="29"/>
  </cols>
  <sheetData>
    <row r="1" spans="1:7">
      <c r="A1" s="253" t="s">
        <v>34</v>
      </c>
      <c r="B1" s="253"/>
      <c r="C1" s="253"/>
      <c r="D1" s="253"/>
      <c r="E1" s="253"/>
      <c r="F1" s="253"/>
      <c r="G1" s="253"/>
    </row>
    <row r="2" spans="1:7">
      <c r="A2" s="253" t="s">
        <v>1098</v>
      </c>
      <c r="B2" s="253"/>
      <c r="C2" s="253"/>
      <c r="D2" s="253"/>
      <c r="E2" s="253"/>
      <c r="F2" s="253"/>
      <c r="G2" s="253"/>
    </row>
    <row r="3" spans="1:7" ht="7.5" customHeight="1">
      <c r="A3" s="18" t="s">
        <v>6</v>
      </c>
      <c r="B3" s="109" t="s">
        <v>6</v>
      </c>
      <c r="C3" s="109" t="s">
        <v>6</v>
      </c>
      <c r="D3" s="109"/>
      <c r="E3" s="109" t="s">
        <v>6</v>
      </c>
      <c r="F3" s="109" t="s">
        <v>6</v>
      </c>
      <c r="G3" s="109" t="s">
        <v>6</v>
      </c>
    </row>
    <row r="4" spans="1:7">
      <c r="A4" s="18"/>
      <c r="B4" s="63">
        <v>2018</v>
      </c>
      <c r="C4" s="63">
        <v>2019</v>
      </c>
      <c r="D4" s="63">
        <v>2019</v>
      </c>
      <c r="E4" s="51">
        <v>2019</v>
      </c>
      <c r="F4" s="51">
        <v>2019</v>
      </c>
      <c r="G4" s="64" t="s">
        <v>839</v>
      </c>
    </row>
    <row r="5" spans="1:7">
      <c r="A5" s="214" t="s">
        <v>864</v>
      </c>
      <c r="B5" s="66" t="s">
        <v>823</v>
      </c>
      <c r="C5" s="66" t="s">
        <v>862</v>
      </c>
      <c r="D5" s="66" t="s">
        <v>863</v>
      </c>
      <c r="E5" s="66" t="s">
        <v>1147</v>
      </c>
      <c r="F5" s="66" t="s">
        <v>909</v>
      </c>
      <c r="G5" s="67" t="s">
        <v>826</v>
      </c>
    </row>
    <row r="6" spans="1:7">
      <c r="B6" s="109"/>
      <c r="C6" s="109"/>
      <c r="D6" s="109"/>
      <c r="E6" s="109"/>
      <c r="F6" s="109"/>
      <c r="G6" s="109"/>
    </row>
    <row r="7" spans="1:7">
      <c r="A7" s="18" t="s">
        <v>1088</v>
      </c>
      <c r="B7" s="109"/>
      <c r="C7" s="109"/>
      <c r="D7" s="109"/>
      <c r="E7" s="109"/>
      <c r="F7" s="109"/>
      <c r="G7" s="109"/>
    </row>
    <row r="8" spans="1:7">
      <c r="A8" s="95" t="s">
        <v>1097</v>
      </c>
      <c r="B8" s="110">
        <v>95009.25</v>
      </c>
      <c r="C8" s="110">
        <f>'[2]Worksheet - Grand Theater (070)'!E13</f>
        <v>97200</v>
      </c>
      <c r="D8" s="110">
        <f>'[2]Worksheet - Grand Theater (070)'!F13</f>
        <v>0</v>
      </c>
      <c r="E8" s="110">
        <f>'[2]Worksheet - Grand Theater (070)'!G13</f>
        <v>84256</v>
      </c>
      <c r="F8" s="110">
        <f>'[2]Worksheet - Grand Theater (070)'!H13</f>
        <v>91915.636363636382</v>
      </c>
      <c r="G8" s="110">
        <f>'Worksheet - Grant Theater (070)'!I13</f>
        <v>99055</v>
      </c>
    </row>
    <row r="9" spans="1:7">
      <c r="A9" s="95" t="s">
        <v>529</v>
      </c>
      <c r="B9" s="110">
        <v>3414</v>
      </c>
      <c r="C9" s="110">
        <f>'[2]Worksheet - Grand Theater (070)'!E17</f>
        <v>1700</v>
      </c>
      <c r="D9" s="110">
        <f>'[2]Worksheet - Grand Theater (070)'!F17</f>
        <v>0</v>
      </c>
      <c r="E9" s="110">
        <f>'[2]Worksheet - Grand Theater (070)'!G17</f>
        <v>2630</v>
      </c>
      <c r="F9" s="110">
        <f>'[2]Worksheet - Grand Theater (070)'!H17</f>
        <v>2869.090909090909</v>
      </c>
      <c r="G9" s="110">
        <f>'Worksheet - Grant Theater (070)'!I16</f>
        <v>3200</v>
      </c>
    </row>
    <row r="10" spans="1:7">
      <c r="A10" s="95" t="s">
        <v>531</v>
      </c>
      <c r="B10" s="110">
        <v>5026.55</v>
      </c>
      <c r="C10" s="110">
        <f>'[2]Worksheet - Grand Theater (070)'!E21</f>
        <v>1400</v>
      </c>
      <c r="D10" s="110">
        <f>'[2]Worksheet - Grand Theater (070)'!F21</f>
        <v>0</v>
      </c>
      <c r="E10" s="110">
        <f>'[2]Worksheet - Grand Theater (070)'!G21</f>
        <v>850</v>
      </c>
      <c r="F10" s="110">
        <f>'[2]Worksheet - Grand Theater (070)'!H21</f>
        <v>927.27272727272725</v>
      </c>
      <c r="G10" s="110">
        <f>'Worksheet - Grant Theater (070)'!I21</f>
        <v>1200</v>
      </c>
    </row>
    <row r="11" spans="1:7" ht="13.5" thickBot="1">
      <c r="A11" s="18" t="s">
        <v>532</v>
      </c>
      <c r="B11" s="111">
        <f t="shared" ref="B11:F11" si="0">SUM(B8:B10)</f>
        <v>103449.8</v>
      </c>
      <c r="C11" s="111">
        <f t="shared" si="0"/>
        <v>100300</v>
      </c>
      <c r="D11" s="111">
        <f t="shared" si="0"/>
        <v>0</v>
      </c>
      <c r="E11" s="111">
        <f t="shared" si="0"/>
        <v>87736</v>
      </c>
      <c r="F11" s="111">
        <f t="shared" si="0"/>
        <v>95712.000000000015</v>
      </c>
      <c r="G11" s="111">
        <f>SUM(G8:G10)</f>
        <v>103455</v>
      </c>
    </row>
    <row r="12" spans="1:7" ht="13.5" thickTop="1">
      <c r="B12" s="110"/>
      <c r="C12" s="110"/>
      <c r="D12" s="110"/>
      <c r="E12" s="110"/>
      <c r="F12" s="110"/>
      <c r="G12" s="110"/>
    </row>
    <row r="13" spans="1:7">
      <c r="B13" s="112" t="s">
        <v>6</v>
      </c>
      <c r="C13" s="112" t="s">
        <v>6</v>
      </c>
      <c r="D13" s="112"/>
      <c r="E13" s="112" t="s">
        <v>6</v>
      </c>
      <c r="F13" s="112" t="s">
        <v>6</v>
      </c>
      <c r="G13" s="112" t="s">
        <v>6</v>
      </c>
    </row>
    <row r="14" spans="1:7">
      <c r="A14" s="18" t="s">
        <v>898</v>
      </c>
      <c r="B14" s="112"/>
      <c r="C14" s="112"/>
      <c r="D14" s="112"/>
      <c r="E14" s="112"/>
      <c r="F14" s="112"/>
      <c r="G14" s="112"/>
    </row>
    <row r="15" spans="1:7">
      <c r="A15" s="95" t="s">
        <v>22</v>
      </c>
      <c r="B15" s="113">
        <f>20996.7+1606.31</f>
        <v>22603.010000000002</v>
      </c>
      <c r="C15" s="110">
        <f>'[2]Worksheet - Grand Theater (070)'!E38</f>
        <v>30142</v>
      </c>
      <c r="D15" s="110">
        <f>'[2]Worksheet - Grand Theater (070)'!F38</f>
        <v>0</v>
      </c>
      <c r="E15" s="110">
        <f>'[2]Worksheet - Grand Theater (070)'!G38</f>
        <v>24179.129999999997</v>
      </c>
      <c r="F15" s="110">
        <f>'[2]Worksheet - Grand Theater (070)'!H38</f>
        <v>26363.641581818181</v>
      </c>
      <c r="G15" s="110">
        <f>'Worksheet - Grant Theater (070)'!I38</f>
        <v>25836</v>
      </c>
    </row>
    <row r="16" spans="1:7">
      <c r="A16" s="95" t="s">
        <v>202</v>
      </c>
      <c r="B16" s="113">
        <f>9286.62+0+5640.32+4065+2049.6+3896.55+815.04+308+2080</f>
        <v>28141.13</v>
      </c>
      <c r="C16" s="110">
        <f>'[2]Worksheet - Grand Theater (070)'!E52</f>
        <v>25486</v>
      </c>
      <c r="D16" s="110">
        <f>'[2]Worksheet - Grand Theater (070)'!F52</f>
        <v>0</v>
      </c>
      <c r="E16" s="110">
        <f>'[2]Worksheet - Grand Theater (070)'!G52</f>
        <v>22245.739999999998</v>
      </c>
      <c r="F16" s="110">
        <f>'[2]Worksheet - Grand Theater (070)'!H52</f>
        <v>24268.080000000002</v>
      </c>
      <c r="G16" s="110">
        <f>'Worksheet - Grant Theater (070)'!I52</f>
        <v>23500</v>
      </c>
    </row>
    <row r="17" spans="1:7">
      <c r="A17" s="95" t="s">
        <v>204</v>
      </c>
      <c r="B17" s="113">
        <f>13607.5+29948.45+260.63+1638+2741.16</f>
        <v>48195.739999999991</v>
      </c>
      <c r="C17" s="110">
        <f>'[2]Worksheet - Grand Theater (070)'!E60</f>
        <v>50500</v>
      </c>
      <c r="D17" s="110">
        <f>'[2]Worksheet - Grand Theater (070)'!F60</f>
        <v>0</v>
      </c>
      <c r="E17" s="110">
        <f>'[2]Worksheet - Grand Theater (070)'!G60</f>
        <v>46567.67</v>
      </c>
      <c r="F17" s="110">
        <f>'[2]Worksheet - Grand Theater (070)'!H60</f>
        <v>50801.094545454544</v>
      </c>
      <c r="G17" s="110">
        <f>'Worksheet - Grant Theater (070)'!I60</f>
        <v>46850</v>
      </c>
    </row>
    <row r="18" spans="1:7">
      <c r="A18" s="95" t="s">
        <v>217</v>
      </c>
      <c r="B18" s="113">
        <v>150.9</v>
      </c>
      <c r="C18" s="110">
        <f>'[2]Worksheet - Grand Theater (070)'!E64</f>
        <v>600</v>
      </c>
      <c r="D18" s="110">
        <f>'[2]Worksheet - Grand Theater (070)'!F64</f>
        <v>0</v>
      </c>
      <c r="E18" s="110">
        <f>'[2]Worksheet - Grand Theater (070)'!G64</f>
        <v>115.1</v>
      </c>
      <c r="F18" s="110">
        <f>'[2]Worksheet - Grand Theater (070)'!H64</f>
        <v>125.56363636363636</v>
      </c>
      <c r="G18" s="110">
        <f>'Worksheet - Grant Theater (070)'!I64</f>
        <v>450</v>
      </c>
    </row>
    <row r="19" spans="1:7">
      <c r="A19" s="95" t="s">
        <v>24</v>
      </c>
      <c r="B19" s="113">
        <v>0</v>
      </c>
      <c r="C19" s="110">
        <f>'[2]Worksheet - Grand Theater (070)'!E68</f>
        <v>0</v>
      </c>
      <c r="D19" s="110">
        <f>'[2]Worksheet - Grand Theater (070)'!F68</f>
        <v>0</v>
      </c>
      <c r="E19" s="110">
        <f>'[2]Worksheet - Grand Theater (070)'!G68</f>
        <v>0</v>
      </c>
      <c r="F19" s="110">
        <f>'[2]Worksheet - Grand Theater (070)'!H68</f>
        <v>0</v>
      </c>
      <c r="G19" s="110">
        <f>'Worksheet - Grant Theater (070)'!I68</f>
        <v>0</v>
      </c>
    </row>
    <row r="20" spans="1:7" ht="13.5" thickBot="1">
      <c r="A20" s="18" t="s">
        <v>2</v>
      </c>
      <c r="B20" s="111">
        <f>SUM(B15:B19)</f>
        <v>99090.779999999984</v>
      </c>
      <c r="C20" s="111">
        <f>SUM(C15:C18)</f>
        <v>106728</v>
      </c>
      <c r="D20" s="111">
        <f>SUM(D15:D18)</f>
        <v>0</v>
      </c>
      <c r="E20" s="111">
        <f>SUM(E15:E18)</f>
        <v>93107.64</v>
      </c>
      <c r="F20" s="111">
        <f>SUM(F15:F18)</f>
        <v>101558.37976363636</v>
      </c>
      <c r="G20" s="111">
        <f>SUM(G15:G18)</f>
        <v>96636</v>
      </c>
    </row>
    <row r="21" spans="1:7" ht="13.5" thickTop="1">
      <c r="B21" s="110"/>
      <c r="C21" s="110"/>
      <c r="D21" s="110"/>
      <c r="E21" s="110"/>
      <c r="F21" s="110"/>
      <c r="G21" s="110"/>
    </row>
    <row r="22" spans="1:7" s="18" customFormat="1" ht="39" thickBot="1">
      <c r="A22" s="90" t="s">
        <v>867</v>
      </c>
      <c r="B22" s="212">
        <f t="shared" ref="B22:G22" si="1">B11-B20</f>
        <v>4359.0200000000186</v>
      </c>
      <c r="C22" s="212">
        <f t="shared" si="1"/>
        <v>-6428</v>
      </c>
      <c r="D22" s="212">
        <f t="shared" si="1"/>
        <v>0</v>
      </c>
      <c r="E22" s="212">
        <f t="shared" si="1"/>
        <v>-5371.6399999999994</v>
      </c>
      <c r="F22" s="212">
        <f t="shared" si="1"/>
        <v>-5846.3797636363452</v>
      </c>
      <c r="G22" s="212">
        <f t="shared" si="1"/>
        <v>6819</v>
      </c>
    </row>
    <row r="23" spans="1:7" ht="13.5" thickTop="1">
      <c r="B23" s="115"/>
      <c r="C23" s="115"/>
      <c r="D23" s="115"/>
      <c r="E23" s="115"/>
      <c r="F23" s="115"/>
      <c r="G23" s="115"/>
    </row>
    <row r="24" spans="1:7">
      <c r="A24" s="18" t="s">
        <v>868</v>
      </c>
      <c r="B24" s="115"/>
      <c r="C24" s="115"/>
      <c r="D24" s="115"/>
      <c r="E24" s="115"/>
      <c r="F24" s="115"/>
      <c r="G24" s="115"/>
    </row>
    <row r="25" spans="1:7">
      <c r="A25" s="95" t="s">
        <v>5</v>
      </c>
      <c r="B25" s="110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</row>
    <row r="26" spans="1:7" s="18" customFormat="1" ht="13.5" thickBot="1">
      <c r="A26" s="18" t="s">
        <v>869</v>
      </c>
      <c r="B26" s="111">
        <f>SUM(B25:B25)</f>
        <v>0</v>
      </c>
      <c r="C26" s="111">
        <f>SUM(C25:C25)</f>
        <v>0</v>
      </c>
      <c r="D26" s="111"/>
      <c r="E26" s="111">
        <f>SUM(E25:E25)</f>
        <v>0</v>
      </c>
      <c r="F26" s="111">
        <f>SUM(F25:F25)</f>
        <v>0</v>
      </c>
      <c r="G26" s="111">
        <f>SUM(G25:G25)</f>
        <v>0</v>
      </c>
    </row>
    <row r="27" spans="1:7" ht="13.5" thickTop="1">
      <c r="B27" s="115"/>
      <c r="C27" s="115"/>
      <c r="D27" s="115"/>
      <c r="E27" s="115"/>
      <c r="F27" s="115"/>
      <c r="G27" s="115"/>
    </row>
    <row r="28" spans="1:7" s="18" customFormat="1" ht="51.75" thickBot="1">
      <c r="A28" s="90" t="s">
        <v>871</v>
      </c>
      <c r="B28" s="111">
        <f t="shared" ref="B28:G28" si="2">B22+B26</f>
        <v>4359.0200000000186</v>
      </c>
      <c r="C28" s="111">
        <f t="shared" si="2"/>
        <v>-6428</v>
      </c>
      <c r="D28" s="111">
        <f t="shared" si="2"/>
        <v>0</v>
      </c>
      <c r="E28" s="111">
        <f t="shared" si="2"/>
        <v>-5371.6399999999994</v>
      </c>
      <c r="F28" s="111">
        <f t="shared" si="2"/>
        <v>-5846.3797636363452</v>
      </c>
      <c r="G28" s="111">
        <f t="shared" si="2"/>
        <v>6819</v>
      </c>
    </row>
    <row r="29" spans="1:7" ht="13.5" thickTop="1">
      <c r="B29" s="115"/>
      <c r="C29" s="115"/>
      <c r="D29" s="115"/>
      <c r="E29" s="115"/>
      <c r="F29" s="115"/>
      <c r="G29" s="115"/>
    </row>
    <row r="30" spans="1:7">
      <c r="A30" s="95" t="s">
        <v>7</v>
      </c>
      <c r="B30" s="110">
        <v>-5508.97</v>
      </c>
      <c r="C30" s="110">
        <v>-1149.95</v>
      </c>
      <c r="D30" s="110"/>
      <c r="E30" s="110">
        <v>-1149.95</v>
      </c>
      <c r="F30" s="110">
        <v>-1149.95</v>
      </c>
      <c r="G30" s="110">
        <f>E31</f>
        <v>-6521.5899999999992</v>
      </c>
    </row>
    <row r="31" spans="1:7" ht="13.5" thickBot="1">
      <c r="A31" s="18" t="s">
        <v>873</v>
      </c>
      <c r="B31" s="111">
        <f>B30+B28</f>
        <v>-1149.9499999999816</v>
      </c>
      <c r="C31" s="111">
        <f>C30+C28</f>
        <v>-7577.95</v>
      </c>
      <c r="D31" s="111"/>
      <c r="E31" s="111">
        <f>E30+E28</f>
        <v>-6521.5899999999992</v>
      </c>
      <c r="F31" s="111">
        <f>F30+F28</f>
        <v>-6996.329763636345</v>
      </c>
      <c r="G31" s="111">
        <f>G30+G28</f>
        <v>297.41000000000076</v>
      </c>
    </row>
    <row r="32" spans="1:7" ht="13.5" thickTop="1"/>
    <row r="33" spans="1:1">
      <c r="A33" s="29" t="s">
        <v>6</v>
      </c>
    </row>
  </sheetData>
  <mergeCells count="2">
    <mergeCell ref="A1:G1"/>
    <mergeCell ref="A2:G2"/>
  </mergeCells>
  <pageMargins left="0.45" right="0.45" top="0.5" bottom="0.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ECF18-A073-4668-A379-BCBD865DBA4E}">
  <dimension ref="A1:K71"/>
  <sheetViews>
    <sheetView topLeftCell="A40" workbookViewId="0">
      <selection activeCell="I44" sqref="I44"/>
    </sheetView>
  </sheetViews>
  <sheetFormatPr defaultRowHeight="15"/>
  <cols>
    <col min="1" max="1" width="10.7109375" style="218" customWidth="1"/>
    <col min="2" max="2" width="5.7109375" style="218" customWidth="1"/>
    <col min="3" max="3" width="32.42578125" style="218" customWidth="1"/>
    <col min="4" max="4" width="4.42578125" style="218" customWidth="1"/>
    <col min="5" max="5" width="11.5703125" style="218" customWidth="1"/>
    <col min="6" max="6" width="17.5703125" style="244" bestFit="1" customWidth="1"/>
    <col min="7" max="7" width="13.85546875" style="244" customWidth="1"/>
    <col min="8" max="8" width="13.42578125" style="244" hidden="1" customWidth="1"/>
    <col min="9" max="9" width="14.42578125" style="244" customWidth="1"/>
    <col min="10" max="10" width="32" style="244" hidden="1" customWidth="1"/>
    <col min="11" max="11" width="12.7109375" style="244" customWidth="1"/>
    <col min="12" max="12" width="30.5703125" style="218" customWidth="1"/>
    <col min="13" max="16384" width="9.140625" style="218"/>
  </cols>
  <sheetData>
    <row r="1" spans="1:11">
      <c r="A1" s="258" t="s">
        <v>1099</v>
      </c>
      <c r="B1" s="258"/>
      <c r="C1" s="258"/>
      <c r="D1" s="258"/>
      <c r="E1" s="216"/>
      <c r="F1" s="217"/>
      <c r="G1" s="217"/>
      <c r="H1" s="217"/>
      <c r="I1" s="217"/>
      <c r="J1" s="218"/>
      <c r="K1" s="218"/>
    </row>
    <row r="2" spans="1:11">
      <c r="A2" s="219"/>
      <c r="B2" s="219"/>
      <c r="C2" s="219"/>
      <c r="D2" s="216"/>
      <c r="E2" s="217"/>
      <c r="F2" s="217"/>
      <c r="G2" s="217"/>
      <c r="H2" s="217"/>
      <c r="I2" s="218"/>
      <c r="J2" s="218"/>
      <c r="K2" s="218"/>
    </row>
    <row r="3" spans="1:11">
      <c r="A3" s="217"/>
      <c r="B3" s="217"/>
      <c r="E3" s="220">
        <v>2019</v>
      </c>
      <c r="F3" s="220">
        <v>2019</v>
      </c>
      <c r="G3" s="221">
        <v>2019</v>
      </c>
      <c r="H3" s="221">
        <v>2019</v>
      </c>
      <c r="I3" s="222" t="s">
        <v>839</v>
      </c>
      <c r="J3" s="223" t="s">
        <v>887</v>
      </c>
      <c r="K3" s="218"/>
    </row>
    <row r="4" spans="1:11">
      <c r="A4" s="224"/>
      <c r="B4" s="224"/>
      <c r="C4" s="224"/>
      <c r="D4" s="224"/>
      <c r="E4" s="225" t="s">
        <v>1150</v>
      </c>
      <c r="F4" s="225" t="s">
        <v>863</v>
      </c>
      <c r="G4" s="225" t="s">
        <v>1147</v>
      </c>
      <c r="H4" s="225" t="s">
        <v>909</v>
      </c>
      <c r="I4" s="226" t="s">
        <v>826</v>
      </c>
      <c r="J4" s="227"/>
      <c r="K4" s="218"/>
    </row>
    <row r="5" spans="1:11">
      <c r="A5" s="228"/>
      <c r="B5" s="229"/>
      <c r="C5" s="224"/>
      <c r="D5" s="224"/>
      <c r="E5" s="224"/>
      <c r="F5" s="224"/>
      <c r="G5" s="224"/>
      <c r="H5" s="224"/>
      <c r="I5" s="224"/>
      <c r="J5" s="224"/>
      <c r="K5" s="218"/>
    </row>
    <row r="6" spans="1:11">
      <c r="A6" s="227" t="s">
        <v>1100</v>
      </c>
      <c r="B6" s="224"/>
      <c r="C6" s="224"/>
      <c r="D6" s="230"/>
      <c r="E6" s="230"/>
      <c r="F6" s="230"/>
      <c r="G6" s="230"/>
      <c r="H6" s="230"/>
      <c r="I6" s="230"/>
      <c r="J6" s="224"/>
      <c r="K6" s="218"/>
    </row>
    <row r="7" spans="1:11">
      <c r="A7" s="227"/>
      <c r="B7" s="224"/>
      <c r="C7" s="224"/>
      <c r="D7" s="230"/>
      <c r="E7" s="230"/>
      <c r="F7" s="230"/>
      <c r="G7" s="230"/>
      <c r="H7" s="230"/>
      <c r="I7" s="224"/>
      <c r="J7" s="224"/>
      <c r="K7" s="218"/>
    </row>
    <row r="8" spans="1:11">
      <c r="A8" s="227"/>
      <c r="B8" s="224"/>
      <c r="C8" s="227" t="s">
        <v>1101</v>
      </c>
      <c r="D8" s="230"/>
      <c r="E8" s="230"/>
      <c r="F8" s="230"/>
      <c r="G8" s="230"/>
      <c r="H8" s="230"/>
      <c r="I8" s="224"/>
      <c r="J8" s="224"/>
      <c r="K8" s="218"/>
    </row>
    <row r="9" spans="1:11">
      <c r="A9" s="224" t="s">
        <v>1102</v>
      </c>
      <c r="B9" s="224"/>
      <c r="C9" s="231" t="s">
        <v>1103</v>
      </c>
      <c r="D9" s="224"/>
      <c r="E9" s="232">
        <v>35000</v>
      </c>
      <c r="F9" s="232">
        <v>0</v>
      </c>
      <c r="G9" s="232">
        <v>33925.5</v>
      </c>
      <c r="H9" s="232">
        <f>(G9/11)*12</f>
        <v>37009.63636363636</v>
      </c>
      <c r="I9" s="232">
        <v>36000</v>
      </c>
      <c r="J9" s="232"/>
      <c r="K9" s="218"/>
    </row>
    <row r="10" spans="1:11">
      <c r="A10" s="224" t="s">
        <v>1104</v>
      </c>
      <c r="B10" s="224"/>
      <c r="C10" s="231" t="s">
        <v>1105</v>
      </c>
      <c r="D10" s="224"/>
      <c r="E10" s="232">
        <v>60000</v>
      </c>
      <c r="F10" s="232">
        <v>0</v>
      </c>
      <c r="G10" s="232">
        <v>55690</v>
      </c>
      <c r="H10" s="232">
        <f t="shared" ref="H10:H12" si="0">(G10/11)*12</f>
        <v>60752.727272727279</v>
      </c>
      <c r="I10" s="232">
        <v>56000</v>
      </c>
      <c r="J10" s="232"/>
      <c r="K10" s="218"/>
    </row>
    <row r="11" spans="1:11">
      <c r="A11" s="224" t="s">
        <v>1106</v>
      </c>
      <c r="B11" s="224"/>
      <c r="C11" s="231" t="s">
        <v>1107</v>
      </c>
      <c r="D11" s="224"/>
      <c r="E11" s="232">
        <v>2000</v>
      </c>
      <c r="F11" s="232">
        <v>0</v>
      </c>
      <c r="G11" s="232">
        <v>5692.5</v>
      </c>
      <c r="H11" s="232">
        <f t="shared" si="0"/>
        <v>6210</v>
      </c>
      <c r="I11" s="232">
        <v>7000</v>
      </c>
      <c r="J11" s="232"/>
      <c r="K11" s="218"/>
    </row>
    <row r="12" spans="1:11">
      <c r="A12" s="224" t="s">
        <v>1108</v>
      </c>
      <c r="B12" s="224"/>
      <c r="C12" s="231" t="s">
        <v>1109</v>
      </c>
      <c r="D12" s="224"/>
      <c r="E12" s="232">
        <v>200</v>
      </c>
      <c r="F12" s="232">
        <v>0</v>
      </c>
      <c r="G12" s="232">
        <v>30</v>
      </c>
      <c r="H12" s="232">
        <f t="shared" si="0"/>
        <v>32.727272727272727</v>
      </c>
      <c r="I12" s="232">
        <v>55</v>
      </c>
      <c r="J12" s="232"/>
      <c r="K12" s="218"/>
    </row>
    <row r="13" spans="1:11" s="3" customFormat="1" ht="15.75" thickBot="1">
      <c r="A13" s="227"/>
      <c r="B13" s="227"/>
      <c r="C13" s="227" t="s">
        <v>750</v>
      </c>
      <c r="D13" s="227"/>
      <c r="E13" s="233">
        <f>SUM(E9:E12)</f>
        <v>97200</v>
      </c>
      <c r="F13" s="233">
        <f t="shared" ref="F13:H13" si="1">SUM(F9:F12)</f>
        <v>0</v>
      </c>
      <c r="G13" s="233">
        <f t="shared" si="1"/>
        <v>95338</v>
      </c>
      <c r="H13" s="233">
        <f t="shared" si="1"/>
        <v>104005.09090909093</v>
      </c>
      <c r="I13" s="233">
        <f>SUM(I9:I12)</f>
        <v>99055</v>
      </c>
      <c r="J13" s="234"/>
    </row>
    <row r="14" spans="1:11" ht="15.75" thickTop="1">
      <c r="A14" s="224"/>
      <c r="B14" s="224"/>
      <c r="C14" s="224"/>
      <c r="D14" s="224"/>
      <c r="E14" s="230"/>
      <c r="F14" s="230"/>
      <c r="G14" s="230"/>
      <c r="H14" s="230"/>
      <c r="I14" s="230"/>
      <c r="J14" s="230"/>
      <c r="K14" s="218"/>
    </row>
    <row r="15" spans="1:11">
      <c r="A15" s="224"/>
      <c r="B15" s="224"/>
      <c r="C15" s="227" t="s">
        <v>884</v>
      </c>
      <c r="D15" s="224"/>
      <c r="E15" s="230"/>
      <c r="F15" s="230"/>
      <c r="G15" s="230"/>
      <c r="H15" s="230"/>
      <c r="I15" s="230"/>
      <c r="J15" s="230"/>
      <c r="K15" s="218"/>
    </row>
    <row r="16" spans="1:11">
      <c r="A16" s="224" t="s">
        <v>1110</v>
      </c>
      <c r="B16" s="224"/>
      <c r="C16" s="231" t="s">
        <v>1111</v>
      </c>
      <c r="D16" s="224"/>
      <c r="E16" s="232">
        <v>1700</v>
      </c>
      <c r="F16" s="232">
        <v>0</v>
      </c>
      <c r="G16" s="232">
        <v>2980</v>
      </c>
      <c r="H16" s="232">
        <f t="shared" ref="H16" si="2">(G16/11)*12</f>
        <v>3250.909090909091</v>
      </c>
      <c r="I16" s="232">
        <v>3200</v>
      </c>
      <c r="J16" s="232"/>
      <c r="K16" s="218"/>
    </row>
    <row r="17" spans="1:11" s="3" customFormat="1" ht="15.75" thickBot="1">
      <c r="A17" s="227"/>
      <c r="B17" s="227"/>
      <c r="C17" s="227" t="s">
        <v>1112</v>
      </c>
      <c r="D17" s="227"/>
      <c r="E17" s="233">
        <f>SUM(E16)</f>
        <v>1700</v>
      </c>
      <c r="F17" s="233">
        <f t="shared" ref="F17:I17" si="3">SUM(F16)</f>
        <v>0</v>
      </c>
      <c r="G17" s="233">
        <f t="shared" si="3"/>
        <v>2980</v>
      </c>
      <c r="H17" s="233">
        <f t="shared" si="3"/>
        <v>3250.909090909091</v>
      </c>
      <c r="I17" s="233">
        <f t="shared" si="3"/>
        <v>3200</v>
      </c>
      <c r="J17" s="234"/>
    </row>
    <row r="18" spans="1:11" ht="15.75" thickTop="1">
      <c r="A18" s="224"/>
      <c r="B18" s="224"/>
      <c r="C18" s="224"/>
      <c r="D18" s="224"/>
      <c r="E18" s="235"/>
      <c r="F18" s="235"/>
      <c r="G18" s="235"/>
      <c r="H18" s="235"/>
      <c r="I18" s="235"/>
      <c r="J18" s="235"/>
      <c r="K18" s="218"/>
    </row>
    <row r="19" spans="1:11">
      <c r="A19" s="224"/>
      <c r="B19" s="224"/>
      <c r="C19" s="227" t="s">
        <v>885</v>
      </c>
      <c r="D19" s="224"/>
      <c r="E19" s="235"/>
      <c r="F19" s="235"/>
      <c r="G19" s="235"/>
      <c r="H19" s="235"/>
      <c r="I19" s="235"/>
      <c r="J19" s="235"/>
      <c r="K19" s="218"/>
    </row>
    <row r="20" spans="1:11">
      <c r="A20" s="224" t="s">
        <v>1113</v>
      </c>
      <c r="B20" s="224"/>
      <c r="C20" s="231" t="s">
        <v>1114</v>
      </c>
      <c r="D20" s="224"/>
      <c r="E20" s="232">
        <v>1400</v>
      </c>
      <c r="F20" s="232">
        <v>0</v>
      </c>
      <c r="G20" s="232">
        <v>925</v>
      </c>
      <c r="H20" s="232">
        <f t="shared" ref="H20" si="4">(G20/11)*12</f>
        <v>1009.0909090909091</v>
      </c>
      <c r="I20" s="232">
        <v>1200</v>
      </c>
      <c r="J20" s="232"/>
      <c r="K20" s="218"/>
    </row>
    <row r="21" spans="1:11" s="3" customFormat="1" ht="15.75" thickBot="1">
      <c r="A21" s="227"/>
      <c r="B21" s="227"/>
      <c r="C21" s="227" t="s">
        <v>1069</v>
      </c>
      <c r="D21" s="227"/>
      <c r="E21" s="233">
        <f>SUM(E20)</f>
        <v>1400</v>
      </c>
      <c r="F21" s="233">
        <f t="shared" ref="F21:I21" si="5">SUM(F20)</f>
        <v>0</v>
      </c>
      <c r="G21" s="233">
        <f t="shared" si="5"/>
        <v>925</v>
      </c>
      <c r="H21" s="233">
        <f t="shared" si="5"/>
        <v>1009.0909090909091</v>
      </c>
      <c r="I21" s="233">
        <f t="shared" si="5"/>
        <v>1200</v>
      </c>
      <c r="J21" s="234"/>
    </row>
    <row r="22" spans="1:11" ht="15.75" thickTop="1">
      <c r="A22" s="224"/>
      <c r="B22" s="224"/>
      <c r="C22" s="224"/>
      <c r="D22" s="224"/>
      <c r="E22" s="235"/>
      <c r="F22" s="235"/>
      <c r="G22" s="235"/>
      <c r="H22" s="235"/>
      <c r="I22" s="235"/>
      <c r="J22" s="235"/>
      <c r="K22" s="218"/>
    </row>
    <row r="23" spans="1:11" s="3" customFormat="1" ht="15.75" thickBot="1">
      <c r="A23" s="227" t="s">
        <v>1115</v>
      </c>
      <c r="B23" s="227"/>
      <c r="C23" s="227"/>
      <c r="D23" s="227"/>
      <c r="E23" s="236">
        <f>E13+E17+E21</f>
        <v>100300</v>
      </c>
      <c r="F23" s="236">
        <f>F13+F17+F21</f>
        <v>0</v>
      </c>
      <c r="G23" s="236">
        <f>G13+G17+G21</f>
        <v>99243</v>
      </c>
      <c r="H23" s="236">
        <f>H13+H17+H21</f>
        <v>108265.09090909093</v>
      </c>
      <c r="I23" s="236">
        <f>I13+I17+I21</f>
        <v>103455</v>
      </c>
      <c r="J23" s="237"/>
    </row>
    <row r="24" spans="1:11" ht="15.75" thickTop="1">
      <c r="A24" s="224"/>
      <c r="B24" s="224"/>
      <c r="C24" s="224"/>
      <c r="D24" s="224"/>
      <c r="E24" s="230"/>
      <c r="F24" s="230"/>
      <c r="G24" s="230"/>
      <c r="H24" s="230"/>
      <c r="I24" s="230"/>
      <c r="J24" s="230"/>
      <c r="K24" s="218"/>
    </row>
    <row r="25" spans="1:11">
      <c r="A25" s="224"/>
      <c r="B25" s="224"/>
      <c r="C25" s="224"/>
      <c r="D25" s="224"/>
      <c r="E25" s="230"/>
      <c r="F25" s="230"/>
      <c r="G25" s="230"/>
      <c r="H25" s="230"/>
      <c r="I25" s="230"/>
      <c r="J25" s="230"/>
      <c r="K25" s="218"/>
    </row>
    <row r="26" spans="1:11">
      <c r="A26" s="224"/>
      <c r="B26" s="224"/>
      <c r="C26" s="224"/>
      <c r="D26" s="224"/>
      <c r="E26" s="230"/>
      <c r="F26" s="230"/>
      <c r="G26" s="230"/>
      <c r="H26" s="230"/>
      <c r="I26" s="230"/>
      <c r="J26" s="230"/>
      <c r="K26" s="218"/>
    </row>
    <row r="27" spans="1:11">
      <c r="A27" s="227" t="s">
        <v>1116</v>
      </c>
      <c r="B27" s="224"/>
      <c r="C27" s="224"/>
      <c r="D27" s="230"/>
      <c r="E27" s="230"/>
      <c r="F27" s="230"/>
      <c r="G27" s="230"/>
      <c r="H27" s="230"/>
      <c r="I27" s="230"/>
      <c r="J27" s="224"/>
      <c r="K27" s="218"/>
    </row>
    <row r="28" spans="1:11">
      <c r="A28" s="227"/>
      <c r="B28" s="224"/>
      <c r="C28" s="224"/>
      <c r="D28" s="230"/>
      <c r="E28" s="230"/>
      <c r="F28" s="230"/>
      <c r="G28" s="230"/>
      <c r="H28" s="230"/>
      <c r="I28" s="230"/>
      <c r="J28" s="224"/>
      <c r="K28" s="218"/>
    </row>
    <row r="29" spans="1:11">
      <c r="A29" s="227"/>
      <c r="B29" s="224"/>
      <c r="C29" s="227" t="s">
        <v>22</v>
      </c>
      <c r="D29" s="230"/>
      <c r="E29" s="230"/>
      <c r="F29" s="230"/>
      <c r="G29" s="230"/>
      <c r="H29" s="230"/>
      <c r="I29" s="230"/>
      <c r="J29" s="224"/>
      <c r="K29" s="218"/>
    </row>
    <row r="30" spans="1:11">
      <c r="A30" s="227"/>
      <c r="B30" s="224"/>
      <c r="C30" s="238" t="s">
        <v>1117</v>
      </c>
      <c r="D30" s="230"/>
      <c r="E30" s="230"/>
      <c r="F30" s="230"/>
      <c r="G30" s="230"/>
      <c r="H30" s="230"/>
      <c r="I30" s="230"/>
      <c r="J30" s="224"/>
      <c r="K30" s="218"/>
    </row>
    <row r="31" spans="1:11">
      <c r="A31" s="224" t="s">
        <v>1118</v>
      </c>
      <c r="B31" s="224"/>
      <c r="C31" s="239" t="s">
        <v>196</v>
      </c>
      <c r="D31" s="224"/>
      <c r="E31" s="232">
        <v>28000</v>
      </c>
      <c r="F31" s="232">
        <v>0</v>
      </c>
      <c r="G31" s="232">
        <v>24591.3</v>
      </c>
      <c r="H31" s="232">
        <f t="shared" ref="H31" si="6">(G31/11)*12</f>
        <v>26826.872727272726</v>
      </c>
      <c r="I31" s="232">
        <v>24000</v>
      </c>
      <c r="J31" s="232"/>
      <c r="K31" s="218"/>
    </row>
    <row r="32" spans="1:11" s="3" customFormat="1" ht="15.75" thickBot="1">
      <c r="A32" s="227"/>
      <c r="B32" s="227"/>
      <c r="C32" s="238" t="s">
        <v>964</v>
      </c>
      <c r="D32" s="227"/>
      <c r="E32" s="233">
        <f>SUM(E31:E31)</f>
        <v>28000</v>
      </c>
      <c r="F32" s="233">
        <v>0</v>
      </c>
      <c r="G32" s="233">
        <f>SUM(G31:G31)</f>
        <v>24591.3</v>
      </c>
      <c r="H32" s="233">
        <f>SUM(H31:H31)</f>
        <v>26826.872727272726</v>
      </c>
      <c r="I32" s="233">
        <f>SUM(I31:I31)</f>
        <v>24000</v>
      </c>
      <c r="J32" s="234"/>
    </row>
    <row r="33" spans="1:11" ht="15.75" thickTop="1">
      <c r="A33" s="224"/>
      <c r="B33" s="224"/>
      <c r="C33" s="224"/>
      <c r="D33" s="224"/>
      <c r="E33" s="230"/>
      <c r="F33" s="230"/>
      <c r="G33" s="230"/>
      <c r="H33" s="230"/>
      <c r="I33" s="230"/>
      <c r="J33" s="230"/>
      <c r="K33" s="218"/>
    </row>
    <row r="34" spans="1:11">
      <c r="A34" s="224"/>
      <c r="B34" s="224"/>
      <c r="C34" s="238" t="s">
        <v>197</v>
      </c>
      <c r="D34" s="224"/>
      <c r="E34" s="230"/>
      <c r="F34" s="230"/>
      <c r="G34" s="230"/>
      <c r="H34" s="230"/>
      <c r="I34" s="230"/>
      <c r="J34" s="230"/>
      <c r="K34" s="218"/>
    </row>
    <row r="35" spans="1:11">
      <c r="A35" s="224" t="s">
        <v>1119</v>
      </c>
      <c r="B35" s="224"/>
      <c r="C35" s="239" t="s">
        <v>207</v>
      </c>
      <c r="D35" s="224"/>
      <c r="E35" s="232">
        <v>2142</v>
      </c>
      <c r="F35" s="232">
        <v>0</v>
      </c>
      <c r="G35" s="232">
        <v>1893.67</v>
      </c>
      <c r="H35" s="232">
        <f>H32*0.0765</f>
        <v>2052.2557636363636</v>
      </c>
      <c r="I35" s="232">
        <f>I32*0.0765</f>
        <v>1836</v>
      </c>
      <c r="J35" s="232"/>
      <c r="K35" s="218"/>
    </row>
    <row r="36" spans="1:11" s="3" customFormat="1" ht="15.75" thickBot="1">
      <c r="A36" s="227"/>
      <c r="B36" s="227"/>
      <c r="C36" s="238" t="s">
        <v>968</v>
      </c>
      <c r="D36" s="227"/>
      <c r="E36" s="233">
        <f>SUM(E35)</f>
        <v>2142</v>
      </c>
      <c r="F36" s="233">
        <f t="shared" ref="F36:I36" si="7">SUM(F35)</f>
        <v>0</v>
      </c>
      <c r="G36" s="233">
        <f t="shared" si="7"/>
        <v>1893.67</v>
      </c>
      <c r="H36" s="233">
        <f t="shared" si="7"/>
        <v>2052.2557636363636</v>
      </c>
      <c r="I36" s="233">
        <f t="shared" si="7"/>
        <v>1836</v>
      </c>
      <c r="J36" s="234"/>
    </row>
    <row r="37" spans="1:11" ht="15.75" thickTop="1">
      <c r="A37" s="224"/>
      <c r="B37" s="224"/>
      <c r="C37" s="224"/>
      <c r="D37" s="224"/>
      <c r="E37" s="230"/>
      <c r="F37" s="230"/>
      <c r="G37" s="230"/>
      <c r="H37" s="230"/>
      <c r="I37" s="230"/>
      <c r="J37" s="230"/>
      <c r="K37" s="218"/>
    </row>
    <row r="38" spans="1:11" s="3" customFormat="1" ht="15.75" thickBot="1">
      <c r="A38" s="227"/>
      <c r="B38" s="227"/>
      <c r="C38" s="227" t="s">
        <v>953</v>
      </c>
      <c r="D38" s="227"/>
      <c r="E38" s="240">
        <f>E32+E36</f>
        <v>30142</v>
      </c>
      <c r="F38" s="240">
        <f t="shared" ref="F38:I38" si="8">F32+F36</f>
        <v>0</v>
      </c>
      <c r="G38" s="240">
        <f t="shared" si="8"/>
        <v>26484.97</v>
      </c>
      <c r="H38" s="240">
        <f t="shared" si="8"/>
        <v>28879.12849090909</v>
      </c>
      <c r="I38" s="240">
        <f t="shared" si="8"/>
        <v>25836</v>
      </c>
      <c r="J38" s="241"/>
    </row>
    <row r="39" spans="1:11" ht="15.75" thickTop="1">
      <c r="A39" s="224"/>
      <c r="B39" s="224"/>
      <c r="C39" s="224"/>
      <c r="D39" s="224"/>
      <c r="E39" s="242"/>
      <c r="F39" s="242"/>
      <c r="G39" s="242"/>
      <c r="H39" s="242"/>
      <c r="I39" s="242"/>
      <c r="J39" s="242"/>
      <c r="K39" s="218"/>
    </row>
    <row r="40" spans="1:11">
      <c r="A40" s="224"/>
      <c r="B40" s="224"/>
      <c r="C40" s="227" t="s">
        <v>857</v>
      </c>
      <c r="D40" s="224"/>
      <c r="E40" s="230"/>
      <c r="F40" s="230"/>
      <c r="G40" s="230"/>
      <c r="H40" s="230"/>
      <c r="I40" s="230"/>
      <c r="J40" s="230"/>
      <c r="K40" s="218"/>
    </row>
    <row r="41" spans="1:11">
      <c r="A41" s="224" t="s">
        <v>1120</v>
      </c>
      <c r="B41" s="224"/>
      <c r="C41" s="231" t="s">
        <v>19</v>
      </c>
      <c r="D41" s="224"/>
      <c r="E41" s="232">
        <v>9000</v>
      </c>
      <c r="F41" s="232">
        <v>0</v>
      </c>
      <c r="G41" s="232">
        <v>5982.62</v>
      </c>
      <c r="H41" s="232">
        <f t="shared" ref="H41:H51" si="9">(G41/11)*12</f>
        <v>6526.494545454545</v>
      </c>
      <c r="I41" s="232">
        <v>5500</v>
      </c>
      <c r="J41" s="232"/>
      <c r="K41" s="218"/>
    </row>
    <row r="42" spans="1:11">
      <c r="A42" s="224" t="s">
        <v>1121</v>
      </c>
      <c r="B42" s="224"/>
      <c r="C42" s="231" t="s">
        <v>1122</v>
      </c>
      <c r="D42" s="224"/>
      <c r="E42" s="232">
        <v>200</v>
      </c>
      <c r="F42" s="232">
        <v>0</v>
      </c>
      <c r="G42" s="232">
        <v>0</v>
      </c>
      <c r="H42" s="232">
        <f t="shared" si="9"/>
        <v>0</v>
      </c>
      <c r="I42" s="232">
        <v>0</v>
      </c>
      <c r="J42" s="232"/>
      <c r="K42" s="218"/>
    </row>
    <row r="43" spans="1:11">
      <c r="A43" s="224" t="s">
        <v>1123</v>
      </c>
      <c r="B43" s="224"/>
      <c r="C43" s="231" t="s">
        <v>419</v>
      </c>
      <c r="D43" s="224"/>
      <c r="E43" s="232">
        <v>5000</v>
      </c>
      <c r="F43" s="232">
        <v>0</v>
      </c>
      <c r="G43" s="232">
        <v>4671.5600000000004</v>
      </c>
      <c r="H43" s="232">
        <f t="shared" si="9"/>
        <v>5096.2472727272734</v>
      </c>
      <c r="I43" s="232">
        <v>4400</v>
      </c>
      <c r="J43" s="232"/>
      <c r="K43" s="218"/>
    </row>
    <row r="44" spans="1:11">
      <c r="A44" s="224" t="s">
        <v>1124</v>
      </c>
      <c r="B44" s="224"/>
      <c r="C44" s="231" t="s">
        <v>1107</v>
      </c>
      <c r="D44" s="224"/>
      <c r="E44" s="232">
        <v>1500</v>
      </c>
      <c r="F44" s="232">
        <v>0</v>
      </c>
      <c r="G44" s="232">
        <v>3446</v>
      </c>
      <c r="H44" s="232">
        <f t="shared" si="9"/>
        <v>3759.272727272727</v>
      </c>
      <c r="I44" s="232">
        <v>3400</v>
      </c>
      <c r="J44" s="232"/>
      <c r="K44" s="218"/>
    </row>
    <row r="45" spans="1:11">
      <c r="A45" s="224" t="s">
        <v>1125</v>
      </c>
      <c r="B45" s="224"/>
      <c r="C45" s="231" t="s">
        <v>1126</v>
      </c>
      <c r="D45" s="224"/>
      <c r="E45" s="232">
        <v>2500</v>
      </c>
      <c r="F45" s="232">
        <v>0</v>
      </c>
      <c r="G45" s="232">
        <v>1722.84</v>
      </c>
      <c r="H45" s="232">
        <f t="shared" si="9"/>
        <v>1879.4618181818182</v>
      </c>
      <c r="I45" s="232">
        <v>1700</v>
      </c>
      <c r="J45" s="232"/>
      <c r="K45" s="218"/>
    </row>
    <row r="46" spans="1:11">
      <c r="A46" s="224" t="s">
        <v>1127</v>
      </c>
      <c r="B46" s="224"/>
      <c r="C46" s="231" t="s">
        <v>21</v>
      </c>
      <c r="D46" s="224"/>
      <c r="E46" s="232">
        <v>3500</v>
      </c>
      <c r="F46" s="232">
        <v>0</v>
      </c>
      <c r="G46" s="232">
        <v>5634.93</v>
      </c>
      <c r="H46" s="232">
        <f t="shared" si="9"/>
        <v>6147.1963636363635</v>
      </c>
      <c r="I46" s="232">
        <v>5000</v>
      </c>
      <c r="J46" s="232"/>
      <c r="K46" s="218"/>
    </row>
    <row r="47" spans="1:11">
      <c r="A47" s="224" t="s">
        <v>1128</v>
      </c>
      <c r="B47" s="224"/>
      <c r="C47" s="231" t="s">
        <v>20</v>
      </c>
      <c r="D47" s="224"/>
      <c r="E47" s="232">
        <v>350</v>
      </c>
      <c r="F47" s="232">
        <v>0</v>
      </c>
      <c r="G47" s="232">
        <v>1243.19</v>
      </c>
      <c r="H47" s="232">
        <f t="shared" si="9"/>
        <v>1356.2072727272728</v>
      </c>
      <c r="I47" s="232">
        <v>1200</v>
      </c>
      <c r="J47" s="232"/>
      <c r="K47" s="218"/>
    </row>
    <row r="48" spans="1:11">
      <c r="A48" s="224" t="s">
        <v>1129</v>
      </c>
      <c r="B48" s="224"/>
      <c r="C48" s="231" t="s">
        <v>1130</v>
      </c>
      <c r="D48" s="224"/>
      <c r="E48" s="232">
        <v>600</v>
      </c>
      <c r="F48" s="232">
        <v>0</v>
      </c>
      <c r="G48" s="232">
        <v>0</v>
      </c>
      <c r="H48" s="232">
        <f t="shared" si="9"/>
        <v>0</v>
      </c>
      <c r="I48" s="232">
        <v>0</v>
      </c>
      <c r="J48" s="232"/>
      <c r="K48" s="218"/>
    </row>
    <row r="49" spans="1:11">
      <c r="A49" s="224" t="s">
        <v>1131</v>
      </c>
      <c r="B49" s="224"/>
      <c r="C49" s="231" t="s">
        <v>243</v>
      </c>
      <c r="D49" s="224"/>
      <c r="E49" s="232">
        <v>336</v>
      </c>
      <c r="F49" s="232">
        <v>0</v>
      </c>
      <c r="G49" s="232">
        <v>336</v>
      </c>
      <c r="H49" s="232">
        <f t="shared" si="9"/>
        <v>366.54545454545456</v>
      </c>
      <c r="I49" s="232">
        <v>300</v>
      </c>
      <c r="J49" s="232"/>
      <c r="K49" s="218"/>
    </row>
    <row r="50" spans="1:11">
      <c r="A50" s="224" t="s">
        <v>1132</v>
      </c>
      <c r="B50" s="224"/>
      <c r="C50" s="231" t="s">
        <v>1133</v>
      </c>
      <c r="D50" s="224"/>
      <c r="E50" s="232">
        <v>0</v>
      </c>
      <c r="F50" s="232">
        <v>0</v>
      </c>
      <c r="G50" s="232">
        <v>0</v>
      </c>
      <c r="H50" s="232">
        <f t="shared" si="9"/>
        <v>0</v>
      </c>
      <c r="I50" s="232">
        <v>0</v>
      </c>
      <c r="J50" s="232"/>
      <c r="K50" s="218"/>
    </row>
    <row r="51" spans="1:11">
      <c r="A51" s="224" t="s">
        <v>1134</v>
      </c>
      <c r="B51" s="224"/>
      <c r="C51" s="231" t="s">
        <v>1135</v>
      </c>
      <c r="D51" s="224"/>
      <c r="E51" s="232">
        <v>2500</v>
      </c>
      <c r="F51" s="232">
        <v>0</v>
      </c>
      <c r="G51" s="232">
        <v>2120</v>
      </c>
      <c r="H51" s="232">
        <f t="shared" si="9"/>
        <v>2312.7272727272725</v>
      </c>
      <c r="I51" s="232">
        <v>2000</v>
      </c>
      <c r="J51" s="232"/>
      <c r="K51" s="218"/>
    </row>
    <row r="52" spans="1:11" s="3" customFormat="1" ht="15.75" thickBot="1">
      <c r="A52" s="227"/>
      <c r="B52" s="227"/>
      <c r="C52" s="227" t="s">
        <v>971</v>
      </c>
      <c r="D52" s="227"/>
      <c r="E52" s="233">
        <f>SUM(E41:E51)</f>
        <v>25486</v>
      </c>
      <c r="F52" s="233"/>
      <c r="G52" s="233">
        <f t="shared" ref="G52:I52" si="10">SUM(G41:G51)</f>
        <v>25157.14</v>
      </c>
      <c r="H52" s="233">
        <f t="shared" si="10"/>
        <v>27444.152727272729</v>
      </c>
      <c r="I52" s="233">
        <f t="shared" si="10"/>
        <v>23500</v>
      </c>
      <c r="J52" s="234"/>
    </row>
    <row r="53" spans="1:11" ht="15.75" thickTop="1">
      <c r="A53" s="224"/>
      <c r="B53" s="224"/>
      <c r="C53" s="224"/>
      <c r="D53" s="224"/>
      <c r="E53" s="230"/>
      <c r="F53" s="230"/>
      <c r="G53" s="230"/>
      <c r="H53" s="230"/>
      <c r="I53" s="230"/>
      <c r="J53" s="230"/>
      <c r="K53" s="218"/>
    </row>
    <row r="54" spans="1:11">
      <c r="A54" s="224"/>
      <c r="B54" s="224"/>
      <c r="C54" s="227" t="s">
        <v>1136</v>
      </c>
      <c r="D54" s="224"/>
      <c r="E54" s="230"/>
      <c r="F54" s="230"/>
      <c r="G54" s="230"/>
      <c r="H54" s="230"/>
      <c r="I54" s="230"/>
      <c r="J54" s="230"/>
      <c r="K54" s="218"/>
    </row>
    <row r="55" spans="1:11">
      <c r="A55" s="224" t="s">
        <v>1137</v>
      </c>
      <c r="B55" s="224"/>
      <c r="C55" s="231" t="s">
        <v>457</v>
      </c>
      <c r="D55" s="224"/>
      <c r="E55" s="232">
        <v>12200</v>
      </c>
      <c r="F55" s="232">
        <v>0</v>
      </c>
      <c r="G55" s="232">
        <v>14073.88</v>
      </c>
      <c r="H55" s="232">
        <f t="shared" ref="H55:H59" si="11">(G55/11)*12</f>
        <v>15353.323636363635</v>
      </c>
      <c r="I55" s="232">
        <v>12000</v>
      </c>
      <c r="J55" s="232"/>
      <c r="K55" s="218"/>
    </row>
    <row r="56" spans="1:11">
      <c r="A56" s="224" t="s">
        <v>1138</v>
      </c>
      <c r="B56" s="224"/>
      <c r="C56" s="231" t="s">
        <v>1139</v>
      </c>
      <c r="D56" s="224"/>
      <c r="E56" s="232">
        <v>33500</v>
      </c>
      <c r="F56" s="232">
        <v>0</v>
      </c>
      <c r="G56" s="232">
        <v>33247.019999999997</v>
      </c>
      <c r="H56" s="232">
        <f t="shared" si="11"/>
        <v>36269.476363636357</v>
      </c>
      <c r="I56" s="232">
        <v>30000</v>
      </c>
      <c r="J56" s="232"/>
      <c r="K56" s="218"/>
    </row>
    <row r="57" spans="1:11">
      <c r="A57" s="224" t="s">
        <v>1140</v>
      </c>
      <c r="B57" s="224"/>
      <c r="C57" s="231" t="s">
        <v>275</v>
      </c>
      <c r="D57" s="224"/>
      <c r="E57" s="232">
        <v>700</v>
      </c>
      <c r="F57" s="232">
        <v>0</v>
      </c>
      <c r="G57" s="232">
        <v>213.83</v>
      </c>
      <c r="H57" s="232">
        <f t="shared" si="11"/>
        <v>233.26909090909095</v>
      </c>
      <c r="I57" s="232">
        <v>300</v>
      </c>
      <c r="J57" s="232"/>
      <c r="K57" s="218"/>
    </row>
    <row r="58" spans="1:11">
      <c r="A58" s="224" t="s">
        <v>1141</v>
      </c>
      <c r="B58" s="224"/>
      <c r="C58" s="231" t="s">
        <v>277</v>
      </c>
      <c r="D58" s="224"/>
      <c r="E58" s="232">
        <v>1800</v>
      </c>
      <c r="F58" s="232">
        <v>0</v>
      </c>
      <c r="G58" s="232">
        <v>1957.7</v>
      </c>
      <c r="H58" s="232">
        <f t="shared" si="11"/>
        <v>2135.6727272727271</v>
      </c>
      <c r="I58" s="232">
        <v>1750</v>
      </c>
      <c r="J58" s="232"/>
      <c r="K58" s="218"/>
    </row>
    <row r="59" spans="1:11">
      <c r="A59" s="224" t="s">
        <v>1142</v>
      </c>
      <c r="B59" s="224"/>
      <c r="C59" s="231" t="s">
        <v>32</v>
      </c>
      <c r="D59" s="224"/>
      <c r="E59" s="232">
        <v>2300</v>
      </c>
      <c r="F59" s="232">
        <v>0</v>
      </c>
      <c r="G59" s="232">
        <v>2748.07</v>
      </c>
      <c r="H59" s="232">
        <f t="shared" si="11"/>
        <v>2997.8945454545456</v>
      </c>
      <c r="I59" s="232">
        <v>2800</v>
      </c>
      <c r="J59" s="232"/>
      <c r="K59" s="218"/>
    </row>
    <row r="60" spans="1:11" s="3" customFormat="1" ht="15.75" thickBot="1">
      <c r="A60" s="227"/>
      <c r="B60" s="227"/>
      <c r="C60" s="227" t="s">
        <v>956</v>
      </c>
      <c r="D60" s="227"/>
      <c r="E60" s="233">
        <f>SUM(E55:E59)</f>
        <v>50500</v>
      </c>
      <c r="F60" s="233">
        <f t="shared" ref="F60:I60" si="12">SUM(F55:F59)</f>
        <v>0</v>
      </c>
      <c r="G60" s="233">
        <f t="shared" si="12"/>
        <v>52240.499999999993</v>
      </c>
      <c r="H60" s="233">
        <f t="shared" si="12"/>
        <v>56989.636363636353</v>
      </c>
      <c r="I60" s="233">
        <f t="shared" si="12"/>
        <v>46850</v>
      </c>
      <c r="J60" s="234"/>
    </row>
    <row r="61" spans="1:11" ht="15.75" thickTop="1">
      <c r="A61" s="224"/>
      <c r="B61" s="224"/>
      <c r="C61" s="224"/>
      <c r="D61" s="224"/>
      <c r="E61" s="230"/>
      <c r="F61" s="230"/>
      <c r="G61" s="230"/>
      <c r="H61" s="230"/>
      <c r="I61" s="230"/>
      <c r="J61" s="230"/>
      <c r="K61" s="218"/>
    </row>
    <row r="62" spans="1:11">
      <c r="A62" s="224"/>
      <c r="B62" s="224"/>
      <c r="C62" s="227" t="s">
        <v>217</v>
      </c>
      <c r="D62" s="224"/>
      <c r="E62" s="230"/>
      <c r="F62" s="230"/>
      <c r="G62" s="230"/>
      <c r="H62" s="230"/>
      <c r="I62" s="230"/>
      <c r="J62" s="230"/>
      <c r="K62" s="218"/>
    </row>
    <row r="63" spans="1:11">
      <c r="A63" s="224" t="s">
        <v>1143</v>
      </c>
      <c r="B63" s="224"/>
      <c r="C63" s="231" t="s">
        <v>1144</v>
      </c>
      <c r="D63" s="224"/>
      <c r="E63" s="232">
        <v>600</v>
      </c>
      <c r="F63" s="232">
        <v>0</v>
      </c>
      <c r="G63" s="232">
        <v>520.04999999999995</v>
      </c>
      <c r="H63" s="232">
        <f t="shared" ref="H63" si="13">(G63/11)*12</f>
        <v>567.32727272727266</v>
      </c>
      <c r="I63" s="232">
        <v>450</v>
      </c>
      <c r="J63" s="232"/>
      <c r="K63" s="218"/>
    </row>
    <row r="64" spans="1:11" s="3" customFormat="1" ht="15.75" thickBot="1">
      <c r="A64" s="227"/>
      <c r="B64" s="227"/>
      <c r="C64" s="227" t="s">
        <v>961</v>
      </c>
      <c r="D64" s="227"/>
      <c r="E64" s="233">
        <f>SUM(E63:E63)</f>
        <v>600</v>
      </c>
      <c r="F64" s="233">
        <f>SUM(F63:F63)</f>
        <v>0</v>
      </c>
      <c r="G64" s="233">
        <f>SUM(G63:G63)</f>
        <v>520.04999999999995</v>
      </c>
      <c r="H64" s="233">
        <f>SUM(H63:H63)</f>
        <v>567.32727272727266</v>
      </c>
      <c r="I64" s="233">
        <f>SUM(I63:I63)</f>
        <v>450</v>
      </c>
      <c r="J64" s="234"/>
    </row>
    <row r="65" spans="1:11" ht="15.75" thickTop="1">
      <c r="A65" s="224"/>
      <c r="B65" s="224"/>
      <c r="C65" s="224"/>
      <c r="D65" s="224"/>
      <c r="E65" s="230"/>
      <c r="F65" s="230"/>
      <c r="G65" s="230"/>
      <c r="H65" s="230"/>
      <c r="I65" s="230"/>
      <c r="J65" s="230"/>
      <c r="K65" s="218"/>
    </row>
    <row r="66" spans="1:11">
      <c r="A66" s="224"/>
      <c r="B66" s="224"/>
      <c r="C66" s="227" t="s">
        <v>1087</v>
      </c>
      <c r="D66" s="224"/>
      <c r="E66" s="230"/>
      <c r="F66" s="230"/>
      <c r="G66" s="230"/>
      <c r="H66" s="230"/>
      <c r="I66" s="230"/>
      <c r="J66" s="230"/>
      <c r="K66" s="218"/>
    </row>
    <row r="67" spans="1:11">
      <c r="A67" s="224" t="s">
        <v>1145</v>
      </c>
      <c r="B67" s="224"/>
      <c r="C67" s="231" t="s">
        <v>11</v>
      </c>
      <c r="D67" s="224"/>
      <c r="E67" s="232">
        <v>0</v>
      </c>
      <c r="F67" s="232">
        <v>0</v>
      </c>
      <c r="G67" s="232">
        <v>0</v>
      </c>
      <c r="H67" s="232">
        <v>0</v>
      </c>
      <c r="I67" s="232">
        <v>0</v>
      </c>
      <c r="J67" s="232"/>
      <c r="K67" s="218"/>
    </row>
    <row r="68" spans="1:11" s="3" customFormat="1" ht="15.75" thickBot="1">
      <c r="A68" s="227"/>
      <c r="B68" s="227"/>
      <c r="C68" s="227" t="s">
        <v>980</v>
      </c>
      <c r="D68" s="227"/>
      <c r="E68" s="233">
        <f>SUM(E67:E67)</f>
        <v>0</v>
      </c>
      <c r="F68" s="233">
        <f>SUM(F67:F67)</f>
        <v>0</v>
      </c>
      <c r="G68" s="233">
        <f>SUM(G67:G67)</f>
        <v>0</v>
      </c>
      <c r="H68" s="233">
        <f>SUM(H67:H67)</f>
        <v>0</v>
      </c>
      <c r="I68" s="233">
        <f>SUM(I67:I67)</f>
        <v>0</v>
      </c>
      <c r="J68" s="234"/>
    </row>
    <row r="69" spans="1:11" ht="15.75" thickTop="1">
      <c r="A69" s="224"/>
      <c r="B69" s="224"/>
      <c r="C69" s="224"/>
      <c r="D69" s="224"/>
      <c r="E69" s="230"/>
      <c r="F69" s="230"/>
      <c r="G69" s="230"/>
      <c r="H69" s="230"/>
      <c r="I69" s="230"/>
      <c r="J69" s="230"/>
      <c r="K69" s="218"/>
    </row>
    <row r="70" spans="1:11" s="3" customFormat="1" ht="15.75" thickBot="1">
      <c r="A70" s="227" t="s">
        <v>1146</v>
      </c>
      <c r="B70" s="227"/>
      <c r="C70" s="227"/>
      <c r="D70" s="227"/>
      <c r="E70" s="240">
        <f>E38+E52+E60+E64+E68</f>
        <v>106728</v>
      </c>
      <c r="F70" s="240">
        <f t="shared" ref="F70:I70" si="14">F38+F52+F60+F64+F68</f>
        <v>0</v>
      </c>
      <c r="G70" s="240">
        <f t="shared" si="14"/>
        <v>104402.65999999999</v>
      </c>
      <c r="H70" s="240">
        <f t="shared" si="14"/>
        <v>113880.24485454544</v>
      </c>
      <c r="I70" s="240">
        <f t="shared" si="14"/>
        <v>96636</v>
      </c>
      <c r="J70" s="243"/>
    </row>
    <row r="71" spans="1:11" ht="15.75" thickTop="1">
      <c r="A71" s="224"/>
      <c r="B71" s="224"/>
      <c r="C71" s="224"/>
      <c r="D71" s="224"/>
      <c r="E71" s="230"/>
      <c r="F71" s="230"/>
      <c r="G71" s="230"/>
      <c r="H71" s="230"/>
      <c r="I71" s="230"/>
      <c r="J71" s="230"/>
      <c r="K71" s="218"/>
    </row>
  </sheetData>
  <mergeCells count="1">
    <mergeCell ref="A1:D1"/>
  </mergeCells>
  <pageMargins left="0.7" right="0.7" top="0.5" bottom="0.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3378-1632-45EA-9321-2F0A564A67E2}">
  <dimension ref="A1:G35"/>
  <sheetViews>
    <sheetView workbookViewId="0">
      <selection activeCell="P24" sqref="P24"/>
    </sheetView>
  </sheetViews>
  <sheetFormatPr defaultRowHeight="12.75"/>
  <cols>
    <col min="1" max="1" width="26.140625" style="29" customWidth="1"/>
    <col min="2" max="2" width="13.140625" style="114" customWidth="1"/>
    <col min="3" max="3" width="10.85546875" style="114" customWidth="1"/>
    <col min="4" max="4" width="12.85546875" style="114" hidden="1" customWidth="1"/>
    <col min="5" max="5" width="11.7109375" style="114" customWidth="1"/>
    <col min="6" max="6" width="11.5703125" style="114" hidden="1" customWidth="1"/>
    <col min="7" max="7" width="14.28515625" style="114" bestFit="1" customWidth="1"/>
    <col min="8" max="16384" width="9.140625" style="29"/>
  </cols>
  <sheetData>
    <row r="1" spans="1:7">
      <c r="A1" s="253" t="s">
        <v>34</v>
      </c>
      <c r="B1" s="253"/>
      <c r="C1" s="253"/>
      <c r="D1" s="253"/>
      <c r="E1" s="253"/>
      <c r="F1" s="253"/>
      <c r="G1" s="253"/>
    </row>
    <row r="2" spans="1:7">
      <c r="A2" s="253" t="s">
        <v>1160</v>
      </c>
      <c r="B2" s="253"/>
      <c r="C2" s="253"/>
      <c r="D2" s="253"/>
      <c r="E2" s="253"/>
      <c r="F2" s="253"/>
      <c r="G2" s="253"/>
    </row>
    <row r="3" spans="1:7" ht="7.5" customHeight="1">
      <c r="A3" s="18" t="s">
        <v>6</v>
      </c>
      <c r="B3" s="109" t="s">
        <v>6</v>
      </c>
      <c r="C3" s="109" t="s">
        <v>6</v>
      </c>
      <c r="D3" s="109"/>
      <c r="E3" s="109" t="s">
        <v>6</v>
      </c>
      <c r="F3" s="109" t="s">
        <v>6</v>
      </c>
      <c r="G3" s="109" t="s">
        <v>6</v>
      </c>
    </row>
    <row r="4" spans="1:7">
      <c r="A4" s="18"/>
      <c r="B4" s="63">
        <v>2018</v>
      </c>
      <c r="C4" s="63">
        <v>2019</v>
      </c>
      <c r="D4" s="63">
        <v>2019</v>
      </c>
      <c r="E4" s="51">
        <v>2019</v>
      </c>
      <c r="F4" s="51">
        <v>2019</v>
      </c>
      <c r="G4" s="64" t="s">
        <v>839</v>
      </c>
    </row>
    <row r="5" spans="1:7">
      <c r="A5" s="215" t="s">
        <v>864</v>
      </c>
      <c r="B5" s="66" t="s">
        <v>823</v>
      </c>
      <c r="C5" s="66" t="s">
        <v>862</v>
      </c>
      <c r="D5" s="66" t="s">
        <v>863</v>
      </c>
      <c r="E5" s="66" t="s">
        <v>1147</v>
      </c>
      <c r="F5" s="66" t="s">
        <v>909</v>
      </c>
      <c r="G5" s="67" t="s">
        <v>826</v>
      </c>
    </row>
    <row r="6" spans="1:7">
      <c r="B6" s="109"/>
      <c r="C6" s="109"/>
      <c r="D6" s="109"/>
      <c r="E6" s="109"/>
      <c r="F6" s="109"/>
      <c r="G6" s="109"/>
    </row>
    <row r="7" spans="1:7">
      <c r="A7" s="18" t="s">
        <v>1088</v>
      </c>
      <c r="B7" s="109"/>
      <c r="C7" s="109"/>
      <c r="D7" s="109"/>
      <c r="E7" s="109"/>
      <c r="F7" s="109"/>
      <c r="G7" s="109"/>
    </row>
    <row r="8" spans="1:7">
      <c r="A8" s="95" t="s">
        <v>1151</v>
      </c>
      <c r="B8" s="110">
        <v>2400</v>
      </c>
      <c r="C8" s="110">
        <v>0</v>
      </c>
      <c r="D8" s="110">
        <f>'[2]Worksheet - Grand Theater (070)'!F13</f>
        <v>0</v>
      </c>
      <c r="E8" s="110">
        <v>0</v>
      </c>
      <c r="F8" s="110">
        <v>0</v>
      </c>
      <c r="G8" s="110">
        <v>0</v>
      </c>
    </row>
    <row r="9" spans="1:7">
      <c r="A9" s="95" t="s">
        <v>1152</v>
      </c>
      <c r="B9" s="110">
        <v>10800</v>
      </c>
      <c r="C9" s="110">
        <v>0</v>
      </c>
      <c r="D9" s="110">
        <f>'[2]Worksheet - Grand Theater (070)'!F17</f>
        <v>0</v>
      </c>
      <c r="E9" s="110">
        <v>10950</v>
      </c>
      <c r="F9" s="110">
        <v>10950</v>
      </c>
      <c r="G9" s="110">
        <v>10000</v>
      </c>
    </row>
    <row r="10" spans="1:7">
      <c r="A10" s="95" t="s">
        <v>1153</v>
      </c>
      <c r="B10" s="110">
        <v>4.4400000000000004</v>
      </c>
      <c r="C10" s="110">
        <v>5</v>
      </c>
      <c r="D10" s="110"/>
      <c r="E10" s="110">
        <v>5.32</v>
      </c>
      <c r="F10" s="110">
        <v>5</v>
      </c>
      <c r="G10" s="110"/>
    </row>
    <row r="11" spans="1:7" ht="13.5" thickBot="1">
      <c r="A11" s="18" t="s">
        <v>532</v>
      </c>
      <c r="B11" s="111">
        <f t="shared" ref="B11:G11" si="0">SUM(B8:B10)</f>
        <v>13204.44</v>
      </c>
      <c r="C11" s="111">
        <f t="shared" si="0"/>
        <v>5</v>
      </c>
      <c r="D11" s="111">
        <f t="shared" si="0"/>
        <v>0</v>
      </c>
      <c r="E11" s="111">
        <f t="shared" si="0"/>
        <v>10955.32</v>
      </c>
      <c r="F11" s="111">
        <f t="shared" si="0"/>
        <v>10955</v>
      </c>
      <c r="G11" s="111">
        <f t="shared" si="0"/>
        <v>10000</v>
      </c>
    </row>
    <row r="12" spans="1:7" ht="13.5" thickTop="1">
      <c r="B12" s="110"/>
      <c r="C12" s="110"/>
      <c r="D12" s="110"/>
      <c r="E12" s="110"/>
      <c r="F12" s="110"/>
      <c r="G12" s="110"/>
    </row>
    <row r="13" spans="1:7">
      <c r="B13" s="112" t="s">
        <v>6</v>
      </c>
      <c r="C13" s="112" t="s">
        <v>6</v>
      </c>
      <c r="D13" s="112"/>
      <c r="E13" s="112" t="s">
        <v>6</v>
      </c>
      <c r="F13" s="112" t="s">
        <v>6</v>
      </c>
      <c r="G13" s="112" t="s">
        <v>6</v>
      </c>
    </row>
    <row r="14" spans="1:7">
      <c r="A14" s="18" t="s">
        <v>898</v>
      </c>
      <c r="B14" s="112"/>
      <c r="C14" s="112"/>
      <c r="D14" s="112"/>
      <c r="E14" s="112"/>
      <c r="F14" s="112"/>
      <c r="G14" s="112"/>
    </row>
    <row r="15" spans="1:7">
      <c r="A15" s="95" t="s">
        <v>207</v>
      </c>
      <c r="B15" s="113">
        <v>167.71</v>
      </c>
      <c r="C15" s="110">
        <v>0</v>
      </c>
      <c r="D15" s="110"/>
      <c r="E15" s="110">
        <v>185.18</v>
      </c>
      <c r="F15" s="110">
        <v>185</v>
      </c>
      <c r="G15" s="110">
        <v>450</v>
      </c>
    </row>
    <row r="16" spans="1:7">
      <c r="A16" s="95" t="s">
        <v>1154</v>
      </c>
      <c r="B16" s="113">
        <v>2192.4499999999998</v>
      </c>
      <c r="C16" s="110">
        <v>0</v>
      </c>
      <c r="D16" s="110"/>
      <c r="E16" s="110">
        <v>2420.6999999999998</v>
      </c>
      <c r="F16" s="110">
        <v>2421</v>
      </c>
      <c r="G16" s="110">
        <v>2500</v>
      </c>
    </row>
    <row r="17" spans="1:7">
      <c r="A17" s="95" t="s">
        <v>243</v>
      </c>
      <c r="B17" s="113">
        <v>355</v>
      </c>
      <c r="C17" s="110">
        <v>0</v>
      </c>
      <c r="D17" s="110"/>
      <c r="E17" s="110">
        <v>330</v>
      </c>
      <c r="F17" s="110">
        <v>330</v>
      </c>
      <c r="G17" s="110">
        <v>300</v>
      </c>
    </row>
    <row r="18" spans="1:7">
      <c r="A18" s="95" t="s">
        <v>1155</v>
      </c>
      <c r="B18" s="113">
        <v>676.96</v>
      </c>
      <c r="C18" s="110">
        <v>0</v>
      </c>
      <c r="D18" s="110"/>
      <c r="E18" s="110"/>
      <c r="F18" s="110"/>
      <c r="G18" s="110">
        <v>0</v>
      </c>
    </row>
    <row r="19" spans="1:7">
      <c r="A19" s="95" t="s">
        <v>1156</v>
      </c>
      <c r="B19" s="113">
        <v>32.229999999999997</v>
      </c>
      <c r="C19" s="110">
        <v>0</v>
      </c>
      <c r="D19" s="110"/>
      <c r="E19" s="110"/>
      <c r="F19" s="110"/>
      <c r="G19" s="110">
        <v>0</v>
      </c>
    </row>
    <row r="20" spans="1:7">
      <c r="A20" s="95" t="s">
        <v>1157</v>
      </c>
      <c r="B20" s="113">
        <v>7120.76</v>
      </c>
      <c r="C20" s="110">
        <v>0</v>
      </c>
      <c r="D20" s="110"/>
      <c r="E20" s="110">
        <v>4683.63</v>
      </c>
      <c r="F20" s="110">
        <v>4684</v>
      </c>
      <c r="G20" s="110">
        <v>4500</v>
      </c>
    </row>
    <row r="21" spans="1:7" ht="25.5">
      <c r="A21" s="246" t="s">
        <v>1159</v>
      </c>
      <c r="B21" s="113">
        <v>0</v>
      </c>
      <c r="C21" s="110">
        <f>'[2]Worksheet - Grand Theater (070)'!E68</f>
        <v>0</v>
      </c>
      <c r="D21" s="110">
        <f>'[2]Worksheet - Grand Theater (070)'!F68</f>
        <v>0</v>
      </c>
      <c r="E21" s="110">
        <f>'[2]Worksheet - Grand Theater (070)'!G68</f>
        <v>0</v>
      </c>
      <c r="F21" s="110">
        <f>'[2]Worksheet - Grand Theater (070)'!H68</f>
        <v>0</v>
      </c>
      <c r="G21" s="110">
        <v>12480</v>
      </c>
    </row>
    <row r="22" spans="1:7" ht="13.5" thickBot="1">
      <c r="A22" s="18" t="s">
        <v>2</v>
      </c>
      <c r="B22" s="111">
        <f>SUM(B15:B21)</f>
        <v>10545.11</v>
      </c>
      <c r="C22" s="111">
        <f>SUM(C15:C20)</f>
        <v>0</v>
      </c>
      <c r="D22" s="111">
        <f>SUM(D15:D20)</f>
        <v>0</v>
      </c>
      <c r="E22" s="111">
        <f>SUM(E15:E20)</f>
        <v>7619.51</v>
      </c>
      <c r="F22" s="111">
        <f>SUM(F15:F20)</f>
        <v>7620</v>
      </c>
      <c r="G22" s="111">
        <f>SUM(G15:G20)</f>
        <v>7750</v>
      </c>
    </row>
    <row r="23" spans="1:7" ht="13.5" thickTop="1">
      <c r="B23" s="110"/>
      <c r="C23" s="110"/>
      <c r="D23" s="110"/>
      <c r="E23" s="110"/>
      <c r="F23" s="110"/>
      <c r="G23" s="110"/>
    </row>
    <row r="24" spans="1:7" s="18" customFormat="1" ht="39" thickBot="1">
      <c r="A24" s="245" t="s">
        <v>867</v>
      </c>
      <c r="B24" s="212">
        <f t="shared" ref="B24:G24" si="1">B11-B22</f>
        <v>2659.33</v>
      </c>
      <c r="C24" s="212">
        <f t="shared" si="1"/>
        <v>5</v>
      </c>
      <c r="D24" s="212">
        <f t="shared" si="1"/>
        <v>0</v>
      </c>
      <c r="E24" s="212">
        <f t="shared" si="1"/>
        <v>3335.8099999999995</v>
      </c>
      <c r="F24" s="212">
        <f t="shared" si="1"/>
        <v>3335</v>
      </c>
      <c r="G24" s="212">
        <f t="shared" si="1"/>
        <v>2250</v>
      </c>
    </row>
    <row r="25" spans="1:7" ht="13.5" thickTop="1">
      <c r="B25" s="115"/>
      <c r="C25" s="115"/>
      <c r="D25" s="115"/>
      <c r="E25" s="115"/>
      <c r="F25" s="115"/>
      <c r="G25" s="115"/>
    </row>
    <row r="26" spans="1:7">
      <c r="A26" s="29" t="s">
        <v>868</v>
      </c>
      <c r="B26" s="115"/>
      <c r="C26" s="115"/>
      <c r="D26" s="115"/>
      <c r="E26" s="115"/>
      <c r="F26" s="115"/>
      <c r="G26" s="115"/>
    </row>
    <row r="27" spans="1:7">
      <c r="A27" s="95" t="s">
        <v>1158</v>
      </c>
      <c r="B27" s="110">
        <v>17654.64</v>
      </c>
      <c r="C27" s="110">
        <v>0</v>
      </c>
      <c r="D27" s="110">
        <v>0</v>
      </c>
      <c r="E27" s="110">
        <v>17659.96</v>
      </c>
      <c r="F27" s="110">
        <v>17659.96</v>
      </c>
      <c r="G27" s="110">
        <v>17660</v>
      </c>
    </row>
    <row r="28" spans="1:7" s="18" customFormat="1" ht="13.5" thickBot="1">
      <c r="A28" s="18" t="s">
        <v>869</v>
      </c>
      <c r="B28" s="111">
        <f>SUM(B27:B27)</f>
        <v>17654.64</v>
      </c>
      <c r="C28" s="111">
        <f>SUM(C27:C27)</f>
        <v>0</v>
      </c>
      <c r="D28" s="111"/>
      <c r="E28" s="111">
        <f>SUM(E27:E27)</f>
        <v>17659.96</v>
      </c>
      <c r="F28" s="111">
        <f>SUM(F27:F27)</f>
        <v>17659.96</v>
      </c>
      <c r="G28" s="111">
        <f>SUM(G27:G27)</f>
        <v>17660</v>
      </c>
    </row>
    <row r="29" spans="1:7" ht="13.5" thickTop="1">
      <c r="B29" s="115"/>
      <c r="C29" s="115"/>
      <c r="D29" s="115"/>
      <c r="E29" s="115"/>
      <c r="F29" s="115"/>
      <c r="G29" s="115"/>
    </row>
    <row r="30" spans="1:7" s="18" customFormat="1" ht="64.5" thickBot="1">
      <c r="A30" s="245" t="s">
        <v>871</v>
      </c>
      <c r="B30" s="111">
        <f t="shared" ref="B30:G30" si="2">B24+B28</f>
        <v>20313.97</v>
      </c>
      <c r="C30" s="111">
        <f t="shared" si="2"/>
        <v>5</v>
      </c>
      <c r="D30" s="111">
        <f t="shared" si="2"/>
        <v>0</v>
      </c>
      <c r="E30" s="111">
        <f t="shared" si="2"/>
        <v>20995.769999999997</v>
      </c>
      <c r="F30" s="111">
        <f t="shared" si="2"/>
        <v>20994.959999999999</v>
      </c>
      <c r="G30" s="111">
        <f t="shared" si="2"/>
        <v>19910</v>
      </c>
    </row>
    <row r="31" spans="1:7" ht="13.5" thickTop="1">
      <c r="B31" s="115"/>
      <c r="C31" s="115"/>
      <c r="D31" s="115"/>
      <c r="E31" s="115"/>
      <c r="F31" s="115"/>
      <c r="G31" s="115"/>
    </row>
    <row r="32" spans="1:7" ht="25.5">
      <c r="A32" s="246" t="s">
        <v>7</v>
      </c>
      <c r="B32" s="110">
        <v>38232.160000000003</v>
      </c>
      <c r="C32" s="110">
        <f>B33</f>
        <v>58546.130000000005</v>
      </c>
      <c r="D32" s="110"/>
      <c r="E32" s="110">
        <v>38232</v>
      </c>
      <c r="F32" s="110">
        <v>41568</v>
      </c>
      <c r="G32" s="110">
        <v>-1149.95</v>
      </c>
    </row>
    <row r="33" spans="1:7" ht="26.25" thickBot="1">
      <c r="A33" s="90" t="s">
        <v>873</v>
      </c>
      <c r="B33" s="111">
        <f>B32+B30</f>
        <v>58546.130000000005</v>
      </c>
      <c r="C33" s="111">
        <f>C32+C30</f>
        <v>58551.130000000005</v>
      </c>
      <c r="D33" s="111"/>
      <c r="E33" s="111">
        <f>E32+E30</f>
        <v>59227.77</v>
      </c>
      <c r="F33" s="111">
        <f>F32+F30</f>
        <v>62562.96</v>
      </c>
      <c r="G33" s="111">
        <f>G32+G30</f>
        <v>18760.05</v>
      </c>
    </row>
    <row r="34" spans="1:7" ht="13.5" thickTop="1"/>
    <row r="35" spans="1:7">
      <c r="A35" s="29" t="s">
        <v>6</v>
      </c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54"/>
  <sheetViews>
    <sheetView zoomScale="90" zoomScaleNormal="90" workbookViewId="0">
      <pane ySplit="4" topLeftCell="A498" activePane="bottomLeft" state="frozen"/>
      <selection pane="bottomLeft" activeCell="L505" sqref="L505"/>
    </sheetView>
  </sheetViews>
  <sheetFormatPr defaultRowHeight="15"/>
  <cols>
    <col min="1" max="1" width="13.140625" style="29" customWidth="1"/>
    <col min="2" max="2" width="9.140625" style="29"/>
    <col min="3" max="3" width="38.85546875" style="29" bestFit="1" customWidth="1"/>
    <col min="4" max="5" width="9.140625" style="29"/>
    <col min="6" max="8" width="15.7109375" style="31" customWidth="1"/>
    <col min="9" max="9" width="15.7109375" style="31" hidden="1" customWidth="1"/>
    <col min="10" max="10" width="15.7109375" style="31" customWidth="1"/>
    <col min="11" max="11" width="45.7109375" style="126" hidden="1" customWidth="1"/>
    <col min="12" max="12" width="30.85546875" style="29" customWidth="1"/>
    <col min="13" max="13" width="10.28515625" customWidth="1"/>
  </cols>
  <sheetData>
    <row r="1" spans="1:12" s="122" customFormat="1">
      <c r="A1" s="249" t="s">
        <v>881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2" s="32" customFormat="1" ht="12.75">
      <c r="A2" s="61" t="s">
        <v>6</v>
      </c>
      <c r="B2" s="62" t="s">
        <v>6</v>
      </c>
      <c r="C2" s="62" t="s">
        <v>6</v>
      </c>
      <c r="D2" s="62"/>
      <c r="E2" s="62" t="s">
        <v>6</v>
      </c>
      <c r="F2" s="62" t="s">
        <v>6</v>
      </c>
      <c r="G2" s="60"/>
      <c r="H2" s="32" t="s">
        <v>1148</v>
      </c>
      <c r="K2" s="141"/>
    </row>
    <row r="3" spans="1:12">
      <c r="F3" s="63">
        <v>2019</v>
      </c>
      <c r="G3" s="63">
        <v>2019</v>
      </c>
      <c r="H3" s="51">
        <v>2019</v>
      </c>
      <c r="I3" s="51">
        <v>2019</v>
      </c>
      <c r="J3" s="64" t="s">
        <v>839</v>
      </c>
      <c r="K3" s="172" t="s">
        <v>27</v>
      </c>
    </row>
    <row r="4" spans="1:12" s="53" customFormat="1">
      <c r="A4" s="50"/>
      <c r="B4" s="50"/>
      <c r="C4" s="50"/>
      <c r="D4" s="50"/>
      <c r="E4" s="50"/>
      <c r="F4" s="66" t="s">
        <v>862</v>
      </c>
      <c r="G4" s="66" t="s">
        <v>863</v>
      </c>
      <c r="H4" s="66" t="s">
        <v>1147</v>
      </c>
      <c r="I4" s="66" t="s">
        <v>909</v>
      </c>
      <c r="J4" s="67" t="s">
        <v>826</v>
      </c>
      <c r="K4" s="109"/>
    </row>
    <row r="5" spans="1:12" s="53" customFormat="1">
      <c r="A5" s="50"/>
      <c r="B5" s="50"/>
      <c r="C5" s="50"/>
      <c r="D5" s="50"/>
      <c r="E5" s="50"/>
      <c r="F5" s="66"/>
      <c r="G5" s="66"/>
      <c r="H5" s="66"/>
      <c r="I5" s="66"/>
      <c r="J5" s="67"/>
      <c r="K5" s="109"/>
    </row>
    <row r="6" spans="1:12">
      <c r="A6" s="251" t="s">
        <v>832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/>
    </row>
    <row r="7" spans="1:12">
      <c r="A7" s="49"/>
      <c r="B7" s="49"/>
      <c r="C7" s="49"/>
      <c r="D7" s="49"/>
      <c r="E7" s="49"/>
      <c r="F7" s="49"/>
      <c r="G7" s="49"/>
      <c r="H7" s="49"/>
      <c r="I7" s="49"/>
      <c r="J7" s="49"/>
      <c r="K7" s="142"/>
      <c r="L7"/>
    </row>
    <row r="8" spans="1:12">
      <c r="A8" s="250" t="s">
        <v>831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/>
    </row>
    <row r="9" spans="1:12">
      <c r="A9" s="19" t="s">
        <v>35</v>
      </c>
      <c r="B9" s="19"/>
      <c r="C9" s="19" t="s">
        <v>36</v>
      </c>
      <c r="D9" s="19"/>
      <c r="E9" s="19"/>
      <c r="F9" s="11">
        <v>275489</v>
      </c>
      <c r="G9" s="11">
        <v>0</v>
      </c>
      <c r="H9" s="45">
        <v>274828.05</v>
      </c>
      <c r="I9" s="11">
        <v>275489</v>
      </c>
      <c r="J9" s="11">
        <v>275000</v>
      </c>
      <c r="K9" s="114" t="s">
        <v>37</v>
      </c>
      <c r="L9"/>
    </row>
    <row r="10" spans="1:12">
      <c r="A10" s="37" t="s">
        <v>38</v>
      </c>
      <c r="B10" s="37"/>
      <c r="C10" s="37" t="s">
        <v>39</v>
      </c>
      <c r="D10" s="37"/>
      <c r="E10" s="37"/>
      <c r="F10" s="39">
        <v>55000</v>
      </c>
      <c r="G10" s="39">
        <v>0</v>
      </c>
      <c r="H10" s="46">
        <v>62946.720000000001</v>
      </c>
      <c r="I10" s="11">
        <f>(H10/11)*12</f>
        <v>68669.149090909094</v>
      </c>
      <c r="J10" s="39">
        <v>60000</v>
      </c>
      <c r="K10" s="114"/>
      <c r="L10"/>
    </row>
    <row r="11" spans="1:12">
      <c r="A11" s="19" t="s">
        <v>40</v>
      </c>
      <c r="B11" s="19"/>
      <c r="C11" s="19" t="s">
        <v>32</v>
      </c>
      <c r="D11" s="19"/>
      <c r="E11" s="19"/>
      <c r="F11" s="11">
        <v>800000</v>
      </c>
      <c r="G11" s="11">
        <v>0</v>
      </c>
      <c r="H11" s="45">
        <v>921219.66</v>
      </c>
      <c r="I11" s="11">
        <f>(H11/11)*12</f>
        <v>1004966.9018181819</v>
      </c>
      <c r="J11" s="11">
        <v>900000</v>
      </c>
      <c r="K11" s="114" t="s">
        <v>829</v>
      </c>
      <c r="L11"/>
    </row>
    <row r="12" spans="1:12">
      <c r="A12" s="19" t="s">
        <v>41</v>
      </c>
      <c r="B12" s="19"/>
      <c r="C12" s="19" t="s">
        <v>42</v>
      </c>
      <c r="D12" s="19"/>
      <c r="E12" s="19"/>
      <c r="F12" s="11">
        <v>6000</v>
      </c>
      <c r="G12" s="11">
        <v>0</v>
      </c>
      <c r="H12" s="45">
        <v>5569</v>
      </c>
      <c r="I12" s="11">
        <f t="shared" ref="I12:I20" si="0">(H12/11)*12</f>
        <v>6075.272727272727</v>
      </c>
      <c r="J12" s="11">
        <v>5500</v>
      </c>
      <c r="K12" s="114"/>
      <c r="L12"/>
    </row>
    <row r="13" spans="1:12">
      <c r="A13" s="37" t="s">
        <v>43</v>
      </c>
      <c r="B13" s="37"/>
      <c r="C13" s="37" t="s">
        <v>44</v>
      </c>
      <c r="D13" s="37"/>
      <c r="E13" s="37"/>
      <c r="F13" s="39">
        <v>1800</v>
      </c>
      <c r="G13" s="39">
        <v>0</v>
      </c>
      <c r="H13" s="46">
        <v>3000</v>
      </c>
      <c r="I13" s="11">
        <f t="shared" si="0"/>
        <v>3272.727272727273</v>
      </c>
      <c r="J13" s="39">
        <v>1800</v>
      </c>
      <c r="K13" s="114"/>
      <c r="L13"/>
    </row>
    <row r="14" spans="1:12">
      <c r="A14" s="37" t="s">
        <v>786</v>
      </c>
      <c r="B14" s="37"/>
      <c r="C14" s="37" t="s">
        <v>785</v>
      </c>
      <c r="D14" s="37"/>
      <c r="E14" s="37"/>
      <c r="F14" s="39">
        <v>50000</v>
      </c>
      <c r="G14" s="39">
        <v>0</v>
      </c>
      <c r="H14" s="46">
        <v>168854.85</v>
      </c>
      <c r="I14" s="11">
        <f t="shared" si="0"/>
        <v>184205.29090909092</v>
      </c>
      <c r="J14" s="39">
        <v>150000</v>
      </c>
      <c r="K14" s="114" t="s">
        <v>819</v>
      </c>
      <c r="L14"/>
    </row>
    <row r="15" spans="1:12">
      <c r="A15" s="37" t="s">
        <v>45</v>
      </c>
      <c r="B15" s="37"/>
      <c r="C15" s="37" t="s">
        <v>46</v>
      </c>
      <c r="D15" s="37"/>
      <c r="E15" s="37"/>
      <c r="F15" s="39">
        <v>1000</v>
      </c>
      <c r="G15" s="39">
        <v>0</v>
      </c>
      <c r="H15" s="46">
        <v>2950.53</v>
      </c>
      <c r="I15" s="11">
        <f t="shared" si="0"/>
        <v>3218.76</v>
      </c>
      <c r="J15" s="39">
        <v>1500</v>
      </c>
      <c r="K15" s="114"/>
      <c r="L15"/>
    </row>
    <row r="16" spans="1:12">
      <c r="A16" s="37" t="s">
        <v>47</v>
      </c>
      <c r="B16" s="37"/>
      <c r="C16" s="37" t="s">
        <v>48</v>
      </c>
      <c r="D16" s="37"/>
      <c r="E16" s="37"/>
      <c r="F16" s="39">
        <v>12720</v>
      </c>
      <c r="G16" s="39">
        <v>0</v>
      </c>
      <c r="H16" s="46">
        <v>12720</v>
      </c>
      <c r="I16" s="11">
        <f t="shared" si="0"/>
        <v>13876.363636363636</v>
      </c>
      <c r="J16" s="39">
        <v>12720</v>
      </c>
      <c r="K16" s="114"/>
      <c r="L16"/>
    </row>
    <row r="17" spans="1:12">
      <c r="A17" s="37" t="s">
        <v>49</v>
      </c>
      <c r="B17" s="37"/>
      <c r="C17" s="37" t="s">
        <v>50</v>
      </c>
      <c r="D17" s="37"/>
      <c r="E17" s="37"/>
      <c r="F17" s="39">
        <v>3240</v>
      </c>
      <c r="G17" s="39">
        <v>0</v>
      </c>
      <c r="H17" s="46">
        <v>3240</v>
      </c>
      <c r="I17" s="11">
        <f t="shared" si="0"/>
        <v>3534.545454545455</v>
      </c>
      <c r="J17" s="39">
        <v>3240</v>
      </c>
      <c r="K17" s="114"/>
      <c r="L17"/>
    </row>
    <row r="18" spans="1:12">
      <c r="A18" s="19" t="s">
        <v>51</v>
      </c>
      <c r="B18" s="19"/>
      <c r="C18" s="19" t="s">
        <v>52</v>
      </c>
      <c r="D18" s="19"/>
      <c r="E18" s="19"/>
      <c r="F18" s="11">
        <v>11000</v>
      </c>
      <c r="G18" s="11">
        <v>0</v>
      </c>
      <c r="H18" s="45">
        <v>13988.73</v>
      </c>
      <c r="I18" s="11">
        <f t="shared" si="0"/>
        <v>15260.432727272728</v>
      </c>
      <c r="J18" s="11">
        <v>12000</v>
      </c>
      <c r="K18" s="114"/>
      <c r="L18"/>
    </row>
    <row r="19" spans="1:12">
      <c r="A19" s="37" t="s">
        <v>53</v>
      </c>
      <c r="B19" s="37"/>
      <c r="C19" s="37" t="s">
        <v>54</v>
      </c>
      <c r="D19" s="37"/>
      <c r="E19" s="37"/>
      <c r="F19" s="39">
        <v>127080</v>
      </c>
      <c r="G19" s="39">
        <v>0</v>
      </c>
      <c r="H19" s="46">
        <v>146322.5</v>
      </c>
      <c r="I19" s="11">
        <f t="shared" si="0"/>
        <v>159624.54545454544</v>
      </c>
      <c r="J19" s="39">
        <v>130000</v>
      </c>
      <c r="K19" s="114" t="s">
        <v>816</v>
      </c>
      <c r="L19"/>
    </row>
    <row r="20" spans="1:12">
      <c r="A20" s="19" t="s">
        <v>55</v>
      </c>
      <c r="B20" s="19"/>
      <c r="C20" s="19" t="s">
        <v>56</v>
      </c>
      <c r="D20" s="19"/>
      <c r="E20" s="19"/>
      <c r="F20" s="11">
        <v>2300</v>
      </c>
      <c r="G20" s="11">
        <v>0</v>
      </c>
      <c r="H20" s="45">
        <v>2227.5500000000002</v>
      </c>
      <c r="I20" s="11">
        <f t="shared" si="0"/>
        <v>2430.0545454545459</v>
      </c>
      <c r="J20" s="11">
        <v>1800</v>
      </c>
      <c r="K20" s="114"/>
      <c r="L20"/>
    </row>
    <row r="21" spans="1:12">
      <c r="A21" s="37" t="s">
        <v>57</v>
      </c>
      <c r="B21" s="37"/>
      <c r="C21" s="37" t="s">
        <v>58</v>
      </c>
      <c r="D21" s="37"/>
      <c r="E21" s="37"/>
      <c r="F21" s="39">
        <v>25237</v>
      </c>
      <c r="G21" s="39">
        <v>0</v>
      </c>
      <c r="H21" s="46">
        <v>19209.75</v>
      </c>
      <c r="I21" s="39">
        <v>25237</v>
      </c>
      <c r="J21" s="39">
        <v>25237</v>
      </c>
      <c r="K21" s="154" t="s">
        <v>861</v>
      </c>
      <c r="L21"/>
    </row>
    <row r="22" spans="1:12" s="3" customFormat="1" ht="15.75" thickBot="1">
      <c r="A22" s="9"/>
      <c r="B22" s="9"/>
      <c r="C22" s="9" t="s">
        <v>941</v>
      </c>
      <c r="D22" s="9"/>
      <c r="E22" s="9"/>
      <c r="F22" s="35">
        <f>SUM(F9:F21)</f>
        <v>1370866</v>
      </c>
      <c r="G22" s="35">
        <f t="shared" ref="G22:J22" si="1">SUM(G9:G21)</f>
        <v>0</v>
      </c>
      <c r="H22" s="35">
        <f t="shared" si="1"/>
        <v>1637077.3400000003</v>
      </c>
      <c r="I22" s="35">
        <f t="shared" si="1"/>
        <v>1765860.0436363635</v>
      </c>
      <c r="J22" s="35">
        <f t="shared" si="1"/>
        <v>1578797</v>
      </c>
      <c r="K22" s="109"/>
    </row>
    <row r="23" spans="1:12" ht="15.75" thickTop="1">
      <c r="A23" s="19"/>
      <c r="B23" s="19"/>
      <c r="C23" s="19"/>
      <c r="D23" s="19"/>
      <c r="E23" s="19"/>
      <c r="F23" s="20"/>
      <c r="G23" s="20"/>
      <c r="H23" s="20"/>
      <c r="I23" s="20"/>
      <c r="J23" s="20"/>
      <c r="K23" s="143"/>
    </row>
    <row r="24" spans="1:12">
      <c r="A24" s="19"/>
      <c r="B24" s="19"/>
      <c r="C24" s="19"/>
      <c r="D24" s="19"/>
      <c r="E24" s="19"/>
      <c r="F24" s="20"/>
      <c r="G24" s="20"/>
      <c r="H24" s="20"/>
      <c r="I24" s="20"/>
      <c r="J24" s="20"/>
      <c r="K24" s="143"/>
    </row>
    <row r="25" spans="1:12">
      <c r="A25" s="250" t="s">
        <v>59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/>
    </row>
    <row r="26" spans="1:12">
      <c r="A26" s="37" t="s">
        <v>60</v>
      </c>
      <c r="B26" s="37"/>
      <c r="C26" s="37" t="s">
        <v>15</v>
      </c>
      <c r="D26" s="37"/>
      <c r="E26" s="37"/>
      <c r="F26" s="39">
        <v>165000</v>
      </c>
      <c r="G26" s="39">
        <v>0</v>
      </c>
      <c r="H26" s="46">
        <v>158026.18</v>
      </c>
      <c r="I26" s="11">
        <v>165000</v>
      </c>
      <c r="J26" s="39">
        <v>165000</v>
      </c>
      <c r="K26" s="114"/>
      <c r="L26"/>
    </row>
    <row r="27" spans="1:12" s="3" customFormat="1" ht="15.75" thickBot="1">
      <c r="A27" s="9"/>
      <c r="B27" s="9"/>
      <c r="C27" s="9" t="s">
        <v>942</v>
      </c>
      <c r="D27" s="9"/>
      <c r="E27" s="9"/>
      <c r="F27" s="35">
        <f>SUM(F26:F26)</f>
        <v>165000</v>
      </c>
      <c r="G27" s="35">
        <f t="shared" ref="G27:J27" si="2">SUM(G26:G26)</f>
        <v>0</v>
      </c>
      <c r="H27" s="35">
        <f t="shared" si="2"/>
        <v>158026.18</v>
      </c>
      <c r="I27" s="35">
        <f t="shared" si="2"/>
        <v>165000</v>
      </c>
      <c r="J27" s="35">
        <f t="shared" si="2"/>
        <v>165000</v>
      </c>
      <c r="K27" s="109"/>
    </row>
    <row r="28" spans="1:12" ht="15.75" thickTop="1">
      <c r="A28" s="19"/>
      <c r="B28" s="19"/>
      <c r="C28" s="19"/>
      <c r="D28" s="19"/>
      <c r="E28" s="19"/>
      <c r="F28" s="20"/>
      <c r="G28" s="20"/>
      <c r="H28" s="20"/>
      <c r="I28" s="20"/>
      <c r="J28" s="20"/>
      <c r="K28" s="143"/>
    </row>
    <row r="29" spans="1:12">
      <c r="A29" s="19"/>
      <c r="B29" s="19"/>
      <c r="C29" s="19"/>
      <c r="D29" s="19"/>
      <c r="E29" s="19"/>
      <c r="F29" s="20"/>
      <c r="G29" s="20"/>
      <c r="H29" s="20"/>
      <c r="I29" s="20"/>
      <c r="J29" s="20"/>
      <c r="K29" s="143"/>
    </row>
    <row r="30" spans="1:12">
      <c r="A30" s="250" t="s">
        <v>61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/>
    </row>
    <row r="31" spans="1:12">
      <c r="A31" s="19" t="s">
        <v>73</v>
      </c>
      <c r="B31" s="19"/>
      <c r="C31" s="33" t="s">
        <v>62</v>
      </c>
      <c r="D31" s="19"/>
      <c r="E31" s="19"/>
      <c r="F31" s="11">
        <v>2000</v>
      </c>
      <c r="G31" s="11">
        <v>0</v>
      </c>
      <c r="H31" s="45">
        <v>1925</v>
      </c>
      <c r="I31" s="11">
        <f t="shared" ref="I31:I33" si="3">(H31/11)*12</f>
        <v>2100</v>
      </c>
      <c r="J31" s="11">
        <v>1500</v>
      </c>
      <c r="K31" s="114"/>
      <c r="L31"/>
    </row>
    <row r="32" spans="1:12">
      <c r="A32" s="19" t="s">
        <v>74</v>
      </c>
      <c r="B32" s="19"/>
      <c r="C32" s="33" t="s">
        <v>63</v>
      </c>
      <c r="D32" s="19"/>
      <c r="E32" s="19"/>
      <c r="F32" s="11">
        <v>2000</v>
      </c>
      <c r="G32" s="11">
        <v>0</v>
      </c>
      <c r="H32" s="45">
        <v>840</v>
      </c>
      <c r="I32" s="11">
        <f t="shared" si="3"/>
        <v>916.36363636363626</v>
      </c>
      <c r="J32" s="11">
        <v>750</v>
      </c>
      <c r="K32" s="114"/>
      <c r="L32"/>
    </row>
    <row r="33" spans="1:12">
      <c r="A33" s="37" t="s">
        <v>75</v>
      </c>
      <c r="B33" s="37"/>
      <c r="C33" s="33" t="s">
        <v>64</v>
      </c>
      <c r="D33" s="37"/>
      <c r="E33" s="37"/>
      <c r="F33" s="39">
        <v>900</v>
      </c>
      <c r="G33" s="39">
        <v>0</v>
      </c>
      <c r="H33" s="46">
        <v>1350</v>
      </c>
      <c r="I33" s="11">
        <f t="shared" si="3"/>
        <v>1472.7272727272727</v>
      </c>
      <c r="J33" s="39">
        <v>150</v>
      </c>
      <c r="K33" s="114"/>
      <c r="L33"/>
    </row>
    <row r="34" spans="1:12">
      <c r="A34" s="37" t="s">
        <v>76</v>
      </c>
      <c r="B34" s="37"/>
      <c r="C34" s="33" t="s">
        <v>65</v>
      </c>
      <c r="D34" s="37"/>
      <c r="E34" s="37"/>
      <c r="F34" s="39">
        <v>11250</v>
      </c>
      <c r="G34" s="39">
        <v>0</v>
      </c>
      <c r="H34" s="46">
        <v>15000</v>
      </c>
      <c r="I34" s="11">
        <v>12500</v>
      </c>
      <c r="J34" s="39">
        <f>2500*5</f>
        <v>12500</v>
      </c>
      <c r="K34" s="114" t="s">
        <v>903</v>
      </c>
      <c r="L34"/>
    </row>
    <row r="35" spans="1:12">
      <c r="A35" s="37" t="s">
        <v>77</v>
      </c>
      <c r="B35" s="37"/>
      <c r="C35" s="33" t="s">
        <v>66</v>
      </c>
      <c r="D35" s="37"/>
      <c r="E35" s="37"/>
      <c r="F35" s="39">
        <v>7500</v>
      </c>
      <c r="G35" s="39">
        <v>0</v>
      </c>
      <c r="H35" s="46">
        <v>15000</v>
      </c>
      <c r="I35" s="39">
        <v>12500</v>
      </c>
      <c r="J35" s="39">
        <f>2500*5</f>
        <v>12500</v>
      </c>
      <c r="K35" s="114" t="s">
        <v>903</v>
      </c>
      <c r="L35"/>
    </row>
    <row r="36" spans="1:12">
      <c r="A36" s="37" t="s">
        <v>78</v>
      </c>
      <c r="B36" s="37"/>
      <c r="C36" s="33" t="s">
        <v>67</v>
      </c>
      <c r="D36" s="37"/>
      <c r="E36" s="37"/>
      <c r="F36" s="39">
        <v>100</v>
      </c>
      <c r="G36" s="39">
        <v>0</v>
      </c>
      <c r="H36" s="46">
        <v>100</v>
      </c>
      <c r="I36" s="47">
        <v>100</v>
      </c>
      <c r="J36" s="39">
        <v>100</v>
      </c>
      <c r="K36" s="114"/>
      <c r="L36"/>
    </row>
    <row r="37" spans="1:12">
      <c r="A37" s="19" t="s">
        <v>79</v>
      </c>
      <c r="B37" s="19"/>
      <c r="C37" s="33" t="s">
        <v>68</v>
      </c>
      <c r="D37" s="19"/>
      <c r="E37" s="19"/>
      <c r="F37" s="11">
        <v>450</v>
      </c>
      <c r="G37" s="11">
        <v>0</v>
      </c>
      <c r="H37" s="45">
        <v>485</v>
      </c>
      <c r="I37" s="11">
        <v>485</v>
      </c>
      <c r="J37" s="11">
        <v>500</v>
      </c>
      <c r="K37" s="114"/>
      <c r="L37"/>
    </row>
    <row r="38" spans="1:12">
      <c r="A38" s="19" t="s">
        <v>80</v>
      </c>
      <c r="B38" s="19"/>
      <c r="C38" s="33" t="s">
        <v>69</v>
      </c>
      <c r="D38" s="19"/>
      <c r="E38" s="19"/>
      <c r="F38" s="11">
        <v>50</v>
      </c>
      <c r="G38" s="11">
        <v>0</v>
      </c>
      <c r="H38" s="45">
        <v>50</v>
      </c>
      <c r="I38" s="11">
        <v>50</v>
      </c>
      <c r="J38" s="11">
        <v>50</v>
      </c>
      <c r="K38" s="114"/>
      <c r="L38"/>
    </row>
    <row r="39" spans="1:12">
      <c r="A39" s="37" t="s">
        <v>81</v>
      </c>
      <c r="B39" s="37"/>
      <c r="C39" s="33" t="s">
        <v>70</v>
      </c>
      <c r="D39" s="37"/>
      <c r="E39" s="37"/>
      <c r="F39" s="39">
        <v>2000</v>
      </c>
      <c r="G39" s="39">
        <v>0</v>
      </c>
      <c r="H39" s="46">
        <v>2085</v>
      </c>
      <c r="I39" s="11">
        <f t="shared" ref="I39:I41" si="4">(H39/11)*12</f>
        <v>2274.5454545454545</v>
      </c>
      <c r="J39" s="39">
        <v>2000</v>
      </c>
      <c r="K39" s="114"/>
      <c r="L39"/>
    </row>
    <row r="40" spans="1:12">
      <c r="A40" s="37" t="s">
        <v>82</v>
      </c>
      <c r="B40" s="37"/>
      <c r="C40" s="33" t="s">
        <v>71</v>
      </c>
      <c r="D40" s="37"/>
      <c r="E40" s="37"/>
      <c r="F40" s="39">
        <v>2000</v>
      </c>
      <c r="G40" s="39">
        <v>0</v>
      </c>
      <c r="H40" s="46">
        <v>1150</v>
      </c>
      <c r="I40" s="11">
        <f t="shared" si="4"/>
        <v>1254.5454545454545</v>
      </c>
      <c r="J40" s="39">
        <v>1000</v>
      </c>
      <c r="K40" s="114"/>
      <c r="L40"/>
    </row>
    <row r="41" spans="1:12">
      <c r="A41" s="37" t="s">
        <v>83</v>
      </c>
      <c r="B41" s="37"/>
      <c r="C41" s="33" t="s">
        <v>72</v>
      </c>
      <c r="D41" s="37"/>
      <c r="E41" s="37"/>
      <c r="F41" s="39">
        <v>500</v>
      </c>
      <c r="G41" s="39">
        <v>0</v>
      </c>
      <c r="H41" s="46">
        <v>375</v>
      </c>
      <c r="I41" s="11">
        <f t="shared" si="4"/>
        <v>409.09090909090912</v>
      </c>
      <c r="J41" s="39">
        <v>400</v>
      </c>
      <c r="K41" s="114"/>
      <c r="L41"/>
    </row>
    <row r="42" spans="1:12" s="3" customFormat="1" ht="15.75" thickBot="1">
      <c r="A42" s="9"/>
      <c r="B42" s="9"/>
      <c r="C42" s="9" t="s">
        <v>943</v>
      </c>
      <c r="D42" s="9"/>
      <c r="E42" s="9"/>
      <c r="F42" s="35">
        <f>SUM(F31:F41)</f>
        <v>28750</v>
      </c>
      <c r="G42" s="35">
        <f t="shared" ref="G42:J42" si="5">SUM(G31:G41)</f>
        <v>0</v>
      </c>
      <c r="H42" s="35">
        <f t="shared" si="5"/>
        <v>38360</v>
      </c>
      <c r="I42" s="35">
        <f t="shared" si="5"/>
        <v>34062.272727272728</v>
      </c>
      <c r="J42" s="35">
        <f t="shared" si="5"/>
        <v>31450</v>
      </c>
      <c r="K42" s="109"/>
    </row>
    <row r="43" spans="1:12" ht="15.75" thickTop="1">
      <c r="A43" s="19"/>
      <c r="B43" s="19"/>
      <c r="C43" s="19"/>
      <c r="D43" s="19"/>
      <c r="E43" s="19"/>
      <c r="F43" s="20"/>
      <c r="G43" s="20"/>
      <c r="H43" s="20"/>
      <c r="J43" s="20"/>
      <c r="K43" s="143"/>
    </row>
    <row r="44" spans="1:12">
      <c r="A44" s="19"/>
      <c r="B44" s="19"/>
      <c r="C44" s="19"/>
      <c r="D44" s="19"/>
      <c r="E44" s="19"/>
      <c r="F44" s="20"/>
      <c r="G44" s="20"/>
      <c r="H44" s="20"/>
      <c r="J44" s="20"/>
      <c r="K44" s="143"/>
    </row>
    <row r="45" spans="1:12">
      <c r="A45" s="250" t="s">
        <v>84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/>
    </row>
    <row r="46" spans="1:12">
      <c r="A46" s="19" t="s">
        <v>96</v>
      </c>
      <c r="B46" s="19"/>
      <c r="C46" s="33" t="s">
        <v>85</v>
      </c>
      <c r="D46" s="19"/>
      <c r="E46" s="19"/>
      <c r="F46" s="11">
        <v>6000</v>
      </c>
      <c r="G46" s="11">
        <v>0</v>
      </c>
      <c r="H46" s="45">
        <v>0</v>
      </c>
      <c r="I46" s="30">
        <v>6000</v>
      </c>
      <c r="J46" s="39">
        <v>8000</v>
      </c>
      <c r="K46" s="114"/>
      <c r="L46"/>
    </row>
    <row r="47" spans="1:12" s="4" customFormat="1" ht="26.25">
      <c r="A47" s="37" t="s">
        <v>97</v>
      </c>
      <c r="B47" s="37"/>
      <c r="C47" s="33" t="s">
        <v>87</v>
      </c>
      <c r="D47" s="37"/>
      <c r="E47" s="37"/>
      <c r="F47" s="39">
        <v>40000</v>
      </c>
      <c r="G47" s="39">
        <v>0</v>
      </c>
      <c r="H47" s="139">
        <v>21440.5</v>
      </c>
      <c r="I47" s="11">
        <f t="shared" ref="I47:I71" si="6">(H47/11)*12</f>
        <v>23389.636363636364</v>
      </c>
      <c r="J47" s="39">
        <v>28500</v>
      </c>
      <c r="K47" s="144" t="s">
        <v>900</v>
      </c>
    </row>
    <row r="48" spans="1:12">
      <c r="A48" s="19" t="s">
        <v>98</v>
      </c>
      <c r="B48" s="19"/>
      <c r="C48" s="33" t="s">
        <v>86</v>
      </c>
      <c r="D48" s="19"/>
      <c r="E48" s="19"/>
      <c r="F48" s="11">
        <v>100</v>
      </c>
      <c r="G48" s="11">
        <v>0</v>
      </c>
      <c r="H48" s="45">
        <v>0</v>
      </c>
      <c r="I48" s="11">
        <f t="shared" si="6"/>
        <v>0</v>
      </c>
      <c r="J48" s="11">
        <v>0</v>
      </c>
      <c r="K48" s="114"/>
      <c r="L48"/>
    </row>
    <row r="49" spans="1:12">
      <c r="A49" s="19" t="s">
        <v>99</v>
      </c>
      <c r="B49" s="19"/>
      <c r="C49" s="33" t="s">
        <v>88</v>
      </c>
      <c r="D49" s="19"/>
      <c r="E49" s="19"/>
      <c r="F49" s="11">
        <v>36670</v>
      </c>
      <c r="G49" s="11">
        <v>0</v>
      </c>
      <c r="H49" s="45">
        <v>36712.44</v>
      </c>
      <c r="I49" s="11">
        <f t="shared" si="6"/>
        <v>40049.934545454547</v>
      </c>
      <c r="J49" s="11">
        <v>36000</v>
      </c>
      <c r="K49" s="114"/>
      <c r="L49"/>
    </row>
    <row r="50" spans="1:12">
      <c r="A50" s="19" t="s">
        <v>100</v>
      </c>
      <c r="B50" s="19"/>
      <c r="C50" s="33" t="s">
        <v>89</v>
      </c>
      <c r="D50" s="19"/>
      <c r="E50" s="19"/>
      <c r="F50" s="11">
        <v>1000</v>
      </c>
      <c r="G50" s="11">
        <v>0</v>
      </c>
      <c r="H50" s="11">
        <v>50</v>
      </c>
      <c r="I50" s="11">
        <f t="shared" si="6"/>
        <v>54.545454545454547</v>
      </c>
      <c r="J50" s="11">
        <v>100</v>
      </c>
      <c r="K50" s="114"/>
      <c r="L50"/>
    </row>
    <row r="51" spans="1:12">
      <c r="A51" s="19" t="s">
        <v>101</v>
      </c>
      <c r="B51" s="19"/>
      <c r="C51" s="33" t="s">
        <v>90</v>
      </c>
      <c r="D51" s="19"/>
      <c r="E51" s="19"/>
      <c r="F51" s="11">
        <v>50</v>
      </c>
      <c r="G51" s="11">
        <v>0</v>
      </c>
      <c r="H51" s="45">
        <v>84.75</v>
      </c>
      <c r="I51" s="11">
        <f t="shared" si="6"/>
        <v>92.454545454545453</v>
      </c>
      <c r="J51" s="11">
        <v>100</v>
      </c>
      <c r="K51" s="114"/>
      <c r="L51"/>
    </row>
    <row r="52" spans="1:12" s="4" customFormat="1">
      <c r="A52" s="37" t="s">
        <v>102</v>
      </c>
      <c r="B52" s="37"/>
      <c r="C52" s="33" t="s">
        <v>91</v>
      </c>
      <c r="D52" s="37"/>
      <c r="E52" s="37"/>
      <c r="F52" s="39">
        <v>200000</v>
      </c>
      <c r="G52" s="39">
        <v>0</v>
      </c>
      <c r="H52" s="46">
        <v>48149.9</v>
      </c>
      <c r="I52" s="11">
        <f t="shared" si="6"/>
        <v>52527.163636363635</v>
      </c>
      <c r="J52" s="39">
        <v>65000</v>
      </c>
      <c r="K52" s="145"/>
    </row>
    <row r="53" spans="1:12">
      <c r="A53" s="37" t="s">
        <v>103</v>
      </c>
      <c r="B53" s="37"/>
      <c r="C53" s="33" t="s">
        <v>92</v>
      </c>
      <c r="D53" s="37"/>
      <c r="E53" s="37"/>
      <c r="F53" s="39">
        <v>2000</v>
      </c>
      <c r="G53" s="39">
        <v>0</v>
      </c>
      <c r="H53" s="46">
        <v>34654.550000000003</v>
      </c>
      <c r="I53" s="11">
        <f t="shared" si="6"/>
        <v>37804.963636363638</v>
      </c>
      <c r="J53" s="39">
        <v>2000</v>
      </c>
      <c r="K53" s="145"/>
      <c r="L53"/>
    </row>
    <row r="54" spans="1:12" s="4" customFormat="1">
      <c r="A54" s="37" t="s">
        <v>104</v>
      </c>
      <c r="B54" s="37"/>
      <c r="C54" s="33" t="s">
        <v>93</v>
      </c>
      <c r="D54" s="37"/>
      <c r="E54" s="37"/>
      <c r="F54" s="39">
        <v>0</v>
      </c>
      <c r="G54" s="39">
        <v>0</v>
      </c>
      <c r="H54" s="46">
        <v>93226.71</v>
      </c>
      <c r="I54" s="11">
        <f t="shared" si="6"/>
        <v>101701.86545454545</v>
      </c>
      <c r="J54" s="39">
        <v>120000</v>
      </c>
      <c r="K54" s="145"/>
    </row>
    <row r="55" spans="1:12" s="4" customFormat="1">
      <c r="A55" s="37" t="s">
        <v>105</v>
      </c>
      <c r="B55" s="37"/>
      <c r="C55" s="33" t="s">
        <v>94</v>
      </c>
      <c r="D55" s="37"/>
      <c r="E55" s="37"/>
      <c r="F55" s="39">
        <v>5000</v>
      </c>
      <c r="G55" s="39">
        <v>0</v>
      </c>
      <c r="H55" s="46">
        <v>28000</v>
      </c>
      <c r="I55" s="11">
        <f t="shared" si="6"/>
        <v>30545.454545454544</v>
      </c>
      <c r="J55" s="39">
        <v>5000</v>
      </c>
      <c r="K55" s="145"/>
    </row>
    <row r="56" spans="1:12">
      <c r="A56" s="19" t="s">
        <v>106</v>
      </c>
      <c r="B56" s="19"/>
      <c r="C56" s="33" t="s">
        <v>95</v>
      </c>
      <c r="D56" s="19"/>
      <c r="E56" s="19"/>
      <c r="F56" s="11">
        <v>10000</v>
      </c>
      <c r="G56" s="11">
        <v>0</v>
      </c>
      <c r="H56" s="45">
        <v>8950</v>
      </c>
      <c r="I56" s="11">
        <f t="shared" si="6"/>
        <v>9763.636363636364</v>
      </c>
      <c r="J56" s="11">
        <v>10000</v>
      </c>
      <c r="K56" s="114"/>
      <c r="L56"/>
    </row>
    <row r="57" spans="1:12">
      <c r="A57" s="19" t="s">
        <v>107</v>
      </c>
      <c r="B57" s="19"/>
      <c r="C57" s="33" t="s">
        <v>108</v>
      </c>
      <c r="D57" s="19"/>
      <c r="E57" s="19"/>
      <c r="F57" s="11">
        <v>100</v>
      </c>
      <c r="G57" s="11">
        <v>0</v>
      </c>
      <c r="H57" s="45">
        <v>50</v>
      </c>
      <c r="I57" s="11">
        <f t="shared" si="6"/>
        <v>54.545454545454547</v>
      </c>
      <c r="J57" s="11">
        <v>100</v>
      </c>
      <c r="K57" s="114"/>
      <c r="L57"/>
    </row>
    <row r="58" spans="1:12">
      <c r="A58" s="19" t="s">
        <v>109</v>
      </c>
      <c r="B58" s="19"/>
      <c r="C58" s="33" t="s">
        <v>110</v>
      </c>
      <c r="D58" s="19"/>
      <c r="E58" s="19"/>
      <c r="F58" s="11">
        <v>21000</v>
      </c>
      <c r="G58" s="11">
        <v>0</v>
      </c>
      <c r="H58" s="45">
        <v>19963</v>
      </c>
      <c r="I58" s="11">
        <v>19963</v>
      </c>
      <c r="J58" s="11">
        <v>20000</v>
      </c>
      <c r="K58" s="114"/>
      <c r="L58"/>
    </row>
    <row r="59" spans="1:12" s="4" customFormat="1">
      <c r="A59" s="37" t="s">
        <v>111</v>
      </c>
      <c r="B59" s="37"/>
      <c r="C59" s="33" t="s">
        <v>112</v>
      </c>
      <c r="D59" s="37"/>
      <c r="E59" s="37"/>
      <c r="F59" s="39">
        <v>6000</v>
      </c>
      <c r="G59" s="39">
        <v>0</v>
      </c>
      <c r="H59" s="46">
        <v>6184.65</v>
      </c>
      <c r="I59" s="11">
        <v>6185</v>
      </c>
      <c r="J59" s="39">
        <v>6000</v>
      </c>
      <c r="K59" s="145"/>
    </row>
    <row r="60" spans="1:12">
      <c r="A60" s="19" t="s">
        <v>113</v>
      </c>
      <c r="B60" s="19"/>
      <c r="C60" s="33" t="s">
        <v>114</v>
      </c>
      <c r="D60" s="19"/>
      <c r="E60" s="19"/>
      <c r="F60" s="11">
        <v>4500</v>
      </c>
      <c r="G60" s="11">
        <v>0</v>
      </c>
      <c r="H60" s="45">
        <v>4960</v>
      </c>
      <c r="I60" s="11">
        <v>4960</v>
      </c>
      <c r="J60" s="11">
        <v>5000</v>
      </c>
      <c r="K60" s="114"/>
      <c r="L60"/>
    </row>
    <row r="61" spans="1:12">
      <c r="A61" s="19" t="s">
        <v>115</v>
      </c>
      <c r="B61" s="19"/>
      <c r="C61" s="33" t="s">
        <v>116</v>
      </c>
      <c r="D61" s="19"/>
      <c r="E61" s="19"/>
      <c r="F61" s="11">
        <v>6500</v>
      </c>
      <c r="G61" s="11">
        <v>0</v>
      </c>
      <c r="H61" s="45">
        <v>6675</v>
      </c>
      <c r="I61" s="11">
        <v>6675</v>
      </c>
      <c r="J61" s="11">
        <v>7000</v>
      </c>
      <c r="K61" s="114"/>
      <c r="L61"/>
    </row>
    <row r="62" spans="1:12">
      <c r="A62" s="19" t="s">
        <v>742</v>
      </c>
      <c r="B62" s="19"/>
      <c r="C62" s="33" t="s">
        <v>743</v>
      </c>
      <c r="D62" s="19"/>
      <c r="E62" s="19"/>
      <c r="F62" s="11">
        <v>2000</v>
      </c>
      <c r="G62" s="11">
        <v>0</v>
      </c>
      <c r="H62" s="45">
        <v>900</v>
      </c>
      <c r="I62" s="11">
        <v>982</v>
      </c>
      <c r="J62" s="11">
        <v>900</v>
      </c>
      <c r="K62" s="114"/>
      <c r="L62"/>
    </row>
    <row r="63" spans="1:12">
      <c r="A63" s="19" t="s">
        <v>120</v>
      </c>
      <c r="B63" s="19"/>
      <c r="C63" s="33" t="s">
        <v>118</v>
      </c>
      <c r="D63" s="19"/>
      <c r="E63" s="19"/>
      <c r="F63" s="11">
        <v>2000</v>
      </c>
      <c r="G63" s="11">
        <v>0</v>
      </c>
      <c r="H63" s="45">
        <v>11504.48</v>
      </c>
      <c r="I63" s="11">
        <v>6504</v>
      </c>
      <c r="J63" s="11">
        <v>2000</v>
      </c>
      <c r="K63" s="114"/>
      <c r="L63"/>
    </row>
    <row r="64" spans="1:12">
      <c r="A64" s="19" t="s">
        <v>119</v>
      </c>
      <c r="B64" s="19"/>
      <c r="C64" s="33" t="s">
        <v>121</v>
      </c>
      <c r="D64" s="19"/>
      <c r="E64" s="19"/>
      <c r="F64" s="11">
        <v>250</v>
      </c>
      <c r="G64" s="11">
        <v>0</v>
      </c>
      <c r="H64" s="45">
        <v>490</v>
      </c>
      <c r="I64" s="11">
        <v>490</v>
      </c>
      <c r="J64" s="11">
        <v>500</v>
      </c>
      <c r="K64" s="114"/>
      <c r="L64"/>
    </row>
    <row r="65" spans="1:12" s="4" customFormat="1">
      <c r="A65" s="37" t="s">
        <v>117</v>
      </c>
      <c r="B65" s="37"/>
      <c r="C65" s="33" t="s">
        <v>122</v>
      </c>
      <c r="D65" s="37"/>
      <c r="E65" s="37"/>
      <c r="F65" s="39">
        <v>2500</v>
      </c>
      <c r="G65" s="39">
        <v>0</v>
      </c>
      <c r="H65" s="46">
        <v>3665</v>
      </c>
      <c r="I65" s="11">
        <v>1985</v>
      </c>
      <c r="J65" s="39">
        <v>2500</v>
      </c>
      <c r="K65" s="145"/>
    </row>
    <row r="66" spans="1:12">
      <c r="A66" s="19" t="s">
        <v>123</v>
      </c>
      <c r="B66" s="19"/>
      <c r="C66" s="33" t="s">
        <v>124</v>
      </c>
      <c r="D66" s="19"/>
      <c r="E66" s="19"/>
      <c r="F66" s="11">
        <v>2685</v>
      </c>
      <c r="G66" s="11">
        <v>0</v>
      </c>
      <c r="H66" s="45">
        <v>1945</v>
      </c>
      <c r="I66" s="11">
        <v>1945</v>
      </c>
      <c r="J66" s="11">
        <v>2000</v>
      </c>
      <c r="K66" s="114"/>
      <c r="L66"/>
    </row>
    <row r="67" spans="1:12">
      <c r="A67" s="19" t="s">
        <v>125</v>
      </c>
      <c r="B67" s="19"/>
      <c r="C67" s="33" t="s">
        <v>126</v>
      </c>
      <c r="D67" s="19"/>
      <c r="E67" s="19"/>
      <c r="F67" s="11">
        <v>2500</v>
      </c>
      <c r="G67" s="11">
        <v>0</v>
      </c>
      <c r="H67" s="45">
        <v>2525</v>
      </c>
      <c r="I67" s="11">
        <v>2525</v>
      </c>
      <c r="J67" s="11">
        <v>2500</v>
      </c>
      <c r="K67" s="114"/>
      <c r="L67"/>
    </row>
    <row r="68" spans="1:12">
      <c r="A68" s="37" t="s">
        <v>127</v>
      </c>
      <c r="B68" s="37"/>
      <c r="C68" s="33" t="s">
        <v>128</v>
      </c>
      <c r="D68" s="37"/>
      <c r="E68" s="37"/>
      <c r="F68" s="39">
        <v>1000</v>
      </c>
      <c r="G68" s="39">
        <v>0</v>
      </c>
      <c r="H68" s="46">
        <v>1270</v>
      </c>
      <c r="I68" s="11">
        <v>1270</v>
      </c>
      <c r="J68" s="39">
        <v>1300</v>
      </c>
      <c r="K68" s="145"/>
      <c r="L68"/>
    </row>
    <row r="69" spans="1:12">
      <c r="A69" s="19" t="s">
        <v>129</v>
      </c>
      <c r="B69" s="19"/>
      <c r="C69" s="33" t="s">
        <v>130</v>
      </c>
      <c r="D69" s="19"/>
      <c r="E69" s="19"/>
      <c r="F69" s="11">
        <v>4000</v>
      </c>
      <c r="G69" s="11">
        <v>0</v>
      </c>
      <c r="H69" s="45">
        <v>6125</v>
      </c>
      <c r="I69" s="11">
        <v>6125</v>
      </c>
      <c r="J69" s="11">
        <v>5000</v>
      </c>
      <c r="K69" s="114"/>
      <c r="L69"/>
    </row>
    <row r="70" spans="1:12">
      <c r="A70" s="19" t="s">
        <v>131</v>
      </c>
      <c r="B70" s="19"/>
      <c r="C70" s="33" t="s">
        <v>132</v>
      </c>
      <c r="D70" s="19"/>
      <c r="E70" s="19"/>
      <c r="F70" s="11">
        <v>1750</v>
      </c>
      <c r="G70" s="11">
        <v>0</v>
      </c>
      <c r="H70" s="45">
        <v>2222</v>
      </c>
      <c r="I70" s="11">
        <f t="shared" si="6"/>
        <v>2424</v>
      </c>
      <c r="J70" s="11">
        <v>2000</v>
      </c>
      <c r="K70" s="114"/>
      <c r="L70"/>
    </row>
    <row r="71" spans="1:12">
      <c r="A71" s="19" t="s">
        <v>133</v>
      </c>
      <c r="B71" s="19"/>
      <c r="C71" s="33" t="s">
        <v>134</v>
      </c>
      <c r="D71" s="19"/>
      <c r="E71" s="19"/>
      <c r="F71" s="11">
        <v>500</v>
      </c>
      <c r="G71" s="11">
        <v>0</v>
      </c>
      <c r="H71" s="45">
        <v>772.3</v>
      </c>
      <c r="I71" s="11">
        <f t="shared" si="6"/>
        <v>842.5090909090909</v>
      </c>
      <c r="J71" s="11">
        <v>1000</v>
      </c>
      <c r="K71" s="114"/>
      <c r="L71"/>
    </row>
    <row r="72" spans="1:12" s="3" customFormat="1" ht="15.75" thickBot="1">
      <c r="A72" s="9"/>
      <c r="B72" s="9"/>
      <c r="C72" s="9" t="s">
        <v>944</v>
      </c>
      <c r="D72" s="9"/>
      <c r="E72" s="9"/>
      <c r="F72" s="35">
        <f>SUM(F46:F71)</f>
        <v>358105</v>
      </c>
      <c r="G72" s="35">
        <f t="shared" ref="G72:J72" si="7">SUM(G46:G71)</f>
        <v>0</v>
      </c>
      <c r="H72" s="35">
        <f>SUM(H46:H71)</f>
        <v>340520.28</v>
      </c>
      <c r="I72" s="35">
        <f t="shared" si="7"/>
        <v>364859.70909090911</v>
      </c>
      <c r="J72" s="35">
        <f t="shared" si="7"/>
        <v>332500</v>
      </c>
      <c r="K72" s="109"/>
    </row>
    <row r="73" spans="1:12" ht="15.75" thickTop="1">
      <c r="A73" s="19"/>
      <c r="B73" s="19"/>
      <c r="C73" s="19"/>
      <c r="D73" s="19"/>
      <c r="E73" s="19"/>
      <c r="F73" s="20"/>
      <c r="G73" s="20"/>
      <c r="H73" s="20"/>
      <c r="J73" s="20"/>
      <c r="K73" s="143"/>
    </row>
    <row r="74" spans="1:12">
      <c r="A74" s="19"/>
      <c r="B74" s="19"/>
      <c r="C74" s="19"/>
      <c r="D74" s="19"/>
      <c r="E74" s="19"/>
      <c r="F74" s="20"/>
      <c r="G74" s="20"/>
      <c r="H74" s="20"/>
      <c r="J74" s="20"/>
      <c r="K74" s="143"/>
    </row>
    <row r="75" spans="1:12">
      <c r="A75" s="250" t="s">
        <v>0</v>
      </c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/>
    </row>
    <row r="76" spans="1:12">
      <c r="A76" s="19" t="s">
        <v>138</v>
      </c>
      <c r="B76" s="19"/>
      <c r="C76" s="19" t="s">
        <v>135</v>
      </c>
      <c r="D76" s="19"/>
      <c r="E76" s="19"/>
      <c r="F76" s="11">
        <v>17000</v>
      </c>
      <c r="G76" s="11">
        <v>0</v>
      </c>
      <c r="H76" s="11">
        <v>0</v>
      </c>
      <c r="I76" s="30">
        <v>0</v>
      </c>
      <c r="J76" s="11">
        <v>0</v>
      </c>
      <c r="K76" s="114"/>
      <c r="L76"/>
    </row>
    <row r="77" spans="1:12">
      <c r="A77" s="19" t="s">
        <v>139</v>
      </c>
      <c r="B77" s="19"/>
      <c r="C77" s="19" t="s">
        <v>137</v>
      </c>
      <c r="D77" s="19"/>
      <c r="E77" s="19"/>
      <c r="F77" s="11">
        <v>6500</v>
      </c>
      <c r="G77" s="11">
        <v>0</v>
      </c>
      <c r="H77" s="11">
        <v>6496</v>
      </c>
      <c r="I77" s="30">
        <v>6500</v>
      </c>
      <c r="J77" s="11">
        <v>6500</v>
      </c>
      <c r="K77" s="114"/>
      <c r="L77"/>
    </row>
    <row r="78" spans="1:12" s="3" customFormat="1" ht="15.75" thickBot="1">
      <c r="A78" s="9"/>
      <c r="B78" s="9"/>
      <c r="C78" s="9" t="s">
        <v>945</v>
      </c>
      <c r="D78" s="9"/>
      <c r="E78" s="9"/>
      <c r="F78" s="35">
        <f>SUM(F76:F77)</f>
        <v>23500</v>
      </c>
      <c r="G78" s="35">
        <f t="shared" ref="G78:J78" si="8">SUM(G76:G77)</f>
        <v>0</v>
      </c>
      <c r="H78" s="35">
        <f t="shared" si="8"/>
        <v>6496</v>
      </c>
      <c r="I78" s="35">
        <f t="shared" si="8"/>
        <v>6500</v>
      </c>
      <c r="J78" s="35">
        <f t="shared" si="8"/>
        <v>6500</v>
      </c>
      <c r="K78" s="109"/>
    </row>
    <row r="79" spans="1:12" s="3" customFormat="1" ht="15.75" thickTop="1">
      <c r="A79" s="9"/>
      <c r="B79" s="9"/>
      <c r="C79" s="9"/>
      <c r="D79" s="9"/>
      <c r="E79" s="9"/>
      <c r="F79" s="118"/>
      <c r="G79" s="118"/>
      <c r="H79" s="118"/>
      <c r="I79" s="118"/>
      <c r="J79" s="118"/>
      <c r="K79" s="109"/>
    </row>
    <row r="80" spans="1:12">
      <c r="A80" s="19"/>
      <c r="B80" s="19"/>
      <c r="C80" s="19"/>
      <c r="D80" s="19"/>
      <c r="E80" s="19"/>
      <c r="F80" s="20"/>
      <c r="G80" s="20"/>
      <c r="H80" s="20"/>
      <c r="J80" s="20"/>
      <c r="K80" s="114"/>
      <c r="L80"/>
    </row>
    <row r="81" spans="1:12">
      <c r="A81" s="250" t="s">
        <v>140</v>
      </c>
      <c r="B81" s="250"/>
      <c r="C81" s="250"/>
      <c r="D81" s="250"/>
      <c r="E81" s="250"/>
      <c r="F81" s="250"/>
      <c r="G81" s="250"/>
      <c r="H81" s="250"/>
      <c r="I81" s="250"/>
      <c r="J81" s="250"/>
      <c r="K81" s="250"/>
      <c r="L81"/>
    </row>
    <row r="82" spans="1:12">
      <c r="A82" s="19" t="s">
        <v>145</v>
      </c>
      <c r="B82" s="19"/>
      <c r="C82" s="19" t="s">
        <v>141</v>
      </c>
      <c r="D82" s="19"/>
      <c r="E82" s="19"/>
      <c r="F82" s="11">
        <v>25000</v>
      </c>
      <c r="G82" s="11">
        <v>0</v>
      </c>
      <c r="H82" s="48">
        <v>16199.01</v>
      </c>
      <c r="I82" s="11">
        <f t="shared" ref="I82:I85" si="9">(H82/11)*12</f>
        <v>17671.647272727274</v>
      </c>
      <c r="J82" s="11">
        <v>15000</v>
      </c>
      <c r="K82" s="114"/>
      <c r="L82"/>
    </row>
    <row r="83" spans="1:12">
      <c r="A83" s="19" t="s">
        <v>146</v>
      </c>
      <c r="B83" s="19"/>
      <c r="C83" s="19" t="s">
        <v>142</v>
      </c>
      <c r="D83" s="19"/>
      <c r="E83" s="19"/>
      <c r="F83" s="11">
        <v>9300</v>
      </c>
      <c r="G83" s="11">
        <v>0</v>
      </c>
      <c r="H83" s="45">
        <v>5450.25</v>
      </c>
      <c r="I83" s="11">
        <f t="shared" si="9"/>
        <v>5945.727272727273</v>
      </c>
      <c r="J83" s="11">
        <v>5000</v>
      </c>
      <c r="K83" s="114"/>
      <c r="L83"/>
    </row>
    <row r="84" spans="1:12">
      <c r="A84" s="19" t="s">
        <v>147</v>
      </c>
      <c r="B84" s="19"/>
      <c r="C84" s="19" t="s">
        <v>1049</v>
      </c>
      <c r="D84" s="19"/>
      <c r="E84" s="19"/>
      <c r="F84" s="11">
        <v>10000</v>
      </c>
      <c r="G84" s="11">
        <v>0</v>
      </c>
      <c r="H84" s="45">
        <v>19108.09</v>
      </c>
      <c r="I84" s="11">
        <f t="shared" si="9"/>
        <v>20845.189090909091</v>
      </c>
      <c r="J84" s="11">
        <v>10000</v>
      </c>
      <c r="K84" s="145" t="s">
        <v>1048</v>
      </c>
      <c r="L84"/>
    </row>
    <row r="85" spans="1:12">
      <c r="A85" s="19" t="s">
        <v>148</v>
      </c>
      <c r="B85" s="19"/>
      <c r="C85" s="19" t="s">
        <v>144</v>
      </c>
      <c r="D85" s="19"/>
      <c r="E85" s="19"/>
      <c r="F85" s="11">
        <v>1200</v>
      </c>
      <c r="G85" s="11">
        <v>0</v>
      </c>
      <c r="H85" s="45">
        <v>1259.67</v>
      </c>
      <c r="I85" s="11">
        <f t="shared" si="9"/>
        <v>1374.1854545454546</v>
      </c>
      <c r="J85" s="11">
        <v>1200</v>
      </c>
      <c r="K85" s="114"/>
      <c r="L85"/>
    </row>
    <row r="86" spans="1:12" s="3" customFormat="1" ht="15.75" thickBot="1">
      <c r="A86" s="9"/>
      <c r="B86" s="9"/>
      <c r="C86" s="9" t="s">
        <v>946</v>
      </c>
      <c r="D86" s="9"/>
      <c r="E86" s="9"/>
      <c r="F86" s="35">
        <f>SUM(F82:F85)</f>
        <v>45500</v>
      </c>
      <c r="G86" s="35">
        <f t="shared" ref="G86:J86" si="10">SUM(G82:G85)</f>
        <v>0</v>
      </c>
      <c r="H86" s="35">
        <f t="shared" si="10"/>
        <v>42017.020000000004</v>
      </c>
      <c r="I86" s="35">
        <f t="shared" si="10"/>
        <v>45836.749090909092</v>
      </c>
      <c r="J86" s="35">
        <f t="shared" si="10"/>
        <v>31200</v>
      </c>
      <c r="K86" s="109"/>
    </row>
    <row r="87" spans="1:12" ht="15.75" thickTop="1">
      <c r="A87" s="19"/>
      <c r="B87" s="19"/>
      <c r="C87" s="19"/>
      <c r="D87" s="19"/>
      <c r="E87" s="19"/>
      <c r="F87" s="13"/>
      <c r="G87" s="13"/>
      <c r="H87" s="13"/>
      <c r="I87" s="13"/>
      <c r="J87" s="13"/>
      <c r="K87" s="146"/>
    </row>
    <row r="88" spans="1:12">
      <c r="A88" s="19"/>
      <c r="B88" s="19"/>
      <c r="C88" s="19"/>
      <c r="D88" s="19"/>
      <c r="E88" s="19"/>
      <c r="F88" s="20"/>
      <c r="G88" s="20"/>
      <c r="H88" s="20"/>
      <c r="I88" s="31" t="s">
        <v>6</v>
      </c>
      <c r="J88" s="20"/>
      <c r="K88" s="143"/>
    </row>
    <row r="89" spans="1:12">
      <c r="A89" s="250" t="s">
        <v>149</v>
      </c>
      <c r="B89" s="250"/>
      <c r="C89" s="250"/>
      <c r="D89" s="250"/>
      <c r="E89" s="250"/>
      <c r="F89" s="250"/>
      <c r="G89" s="250"/>
      <c r="H89" s="250"/>
      <c r="I89" s="250"/>
      <c r="J89" s="250"/>
      <c r="K89" s="250"/>
      <c r="L89"/>
    </row>
    <row r="90" spans="1:12">
      <c r="A90" s="19" t="s">
        <v>157</v>
      </c>
      <c r="B90" s="19"/>
      <c r="C90" s="19" t="s">
        <v>150</v>
      </c>
      <c r="D90" s="19"/>
      <c r="E90" s="19"/>
      <c r="F90" s="11">
        <v>0</v>
      </c>
      <c r="G90" s="11">
        <v>0</v>
      </c>
      <c r="H90" s="45">
        <v>0</v>
      </c>
      <c r="I90" s="30">
        <v>0</v>
      </c>
      <c r="J90" s="11">
        <v>0</v>
      </c>
      <c r="K90" s="114" t="s">
        <v>830</v>
      </c>
      <c r="L90"/>
    </row>
    <row r="91" spans="1:12">
      <c r="A91" s="19" t="s">
        <v>158</v>
      </c>
      <c r="B91" s="19"/>
      <c r="C91" s="19" t="s">
        <v>159</v>
      </c>
      <c r="D91" s="19"/>
      <c r="E91" s="19"/>
      <c r="F91" s="11">
        <v>3600</v>
      </c>
      <c r="G91" s="11">
        <v>0</v>
      </c>
      <c r="H91" s="45">
        <v>3600</v>
      </c>
      <c r="I91" s="30">
        <v>3600</v>
      </c>
      <c r="J91" s="11">
        <v>3600</v>
      </c>
      <c r="K91" s="1"/>
      <c r="L91"/>
    </row>
    <row r="92" spans="1:12">
      <c r="A92" s="19" t="s">
        <v>160</v>
      </c>
      <c r="B92" s="19"/>
      <c r="C92" s="19" t="s">
        <v>152</v>
      </c>
      <c r="D92" s="19"/>
      <c r="E92" s="19"/>
      <c r="F92" s="11">
        <v>2500</v>
      </c>
      <c r="G92" s="11">
        <v>0</v>
      </c>
      <c r="H92" s="45">
        <v>2743</v>
      </c>
      <c r="I92" s="11">
        <f t="shared" ref="I92:I96" si="11">(H92/11)*12</f>
        <v>2992.3636363636365</v>
      </c>
      <c r="J92" s="11">
        <v>2500</v>
      </c>
      <c r="K92" s="114"/>
      <c r="L92"/>
    </row>
    <row r="93" spans="1:12">
      <c r="A93" s="19" t="s">
        <v>161</v>
      </c>
      <c r="B93" s="19"/>
      <c r="C93" s="19" t="s">
        <v>155</v>
      </c>
      <c r="D93" s="19"/>
      <c r="E93" s="19"/>
      <c r="F93" s="11">
        <v>500</v>
      </c>
      <c r="G93" s="11">
        <v>0</v>
      </c>
      <c r="H93" s="45">
        <v>575</v>
      </c>
      <c r="I93" s="11">
        <f t="shared" si="11"/>
        <v>627.27272727272725</v>
      </c>
      <c r="J93" s="11">
        <v>350</v>
      </c>
      <c r="K93" s="114"/>
      <c r="L93"/>
    </row>
    <row r="94" spans="1:12">
      <c r="A94" s="19" t="s">
        <v>162</v>
      </c>
      <c r="B94" s="19"/>
      <c r="C94" s="19" t="s">
        <v>156</v>
      </c>
      <c r="D94" s="19"/>
      <c r="E94" s="19"/>
      <c r="F94" s="11">
        <v>500</v>
      </c>
      <c r="G94" s="11">
        <v>0</v>
      </c>
      <c r="H94" s="45">
        <v>560</v>
      </c>
      <c r="I94" s="11">
        <f t="shared" si="11"/>
        <v>610.90909090909088</v>
      </c>
      <c r="J94" s="11">
        <v>500</v>
      </c>
      <c r="K94" s="114"/>
      <c r="L94"/>
    </row>
    <row r="95" spans="1:12" s="4" customFormat="1">
      <c r="A95" s="37" t="s">
        <v>163</v>
      </c>
      <c r="B95" s="37"/>
      <c r="C95" s="37" t="s">
        <v>153</v>
      </c>
      <c r="D95" s="37"/>
      <c r="E95" s="37"/>
      <c r="F95" s="39">
        <v>3000</v>
      </c>
      <c r="G95" s="39">
        <v>0</v>
      </c>
      <c r="H95" s="46">
        <v>12507</v>
      </c>
      <c r="I95" s="11">
        <f t="shared" si="11"/>
        <v>13644</v>
      </c>
      <c r="J95" s="39">
        <v>4000</v>
      </c>
      <c r="K95" s="145"/>
    </row>
    <row r="96" spans="1:12">
      <c r="A96" s="19" t="s">
        <v>164</v>
      </c>
      <c r="B96" s="19"/>
      <c r="C96" s="19" t="s">
        <v>154</v>
      </c>
      <c r="D96" s="19"/>
      <c r="E96" s="19"/>
      <c r="F96" s="11">
        <v>5000</v>
      </c>
      <c r="G96" s="11">
        <v>0</v>
      </c>
      <c r="H96" s="45">
        <v>8965</v>
      </c>
      <c r="I96" s="11">
        <f t="shared" si="11"/>
        <v>9780</v>
      </c>
      <c r="J96" s="11">
        <v>7500</v>
      </c>
      <c r="K96" s="114"/>
      <c r="L96"/>
    </row>
    <row r="97" spans="1:12" s="3" customFormat="1" ht="15.75" thickBot="1">
      <c r="A97" s="9"/>
      <c r="B97" s="9"/>
      <c r="C97" s="9" t="s">
        <v>947</v>
      </c>
      <c r="D97" s="9"/>
      <c r="E97" s="9"/>
      <c r="F97" s="35">
        <f>SUM(F90:F96)</f>
        <v>15100</v>
      </c>
      <c r="G97" s="35">
        <f t="shared" ref="G97:J97" si="12">SUM(G90:G96)</f>
        <v>0</v>
      </c>
      <c r="H97" s="35">
        <f t="shared" si="12"/>
        <v>28950</v>
      </c>
      <c r="I97" s="35">
        <f t="shared" si="12"/>
        <v>31254.545454545456</v>
      </c>
      <c r="J97" s="35">
        <f t="shared" si="12"/>
        <v>18450</v>
      </c>
      <c r="K97" s="109"/>
    </row>
    <row r="98" spans="1:12" ht="15.75" thickTop="1">
      <c r="A98" s="19"/>
      <c r="B98" s="19"/>
      <c r="C98" s="19"/>
      <c r="D98" s="19"/>
      <c r="E98" s="19"/>
      <c r="F98" s="20"/>
      <c r="G98" s="20"/>
      <c r="H98" s="20"/>
      <c r="J98" s="20"/>
      <c r="K98" s="143"/>
    </row>
    <row r="99" spans="1:12">
      <c r="A99" s="19"/>
      <c r="B99" s="19"/>
      <c r="C99" s="19"/>
      <c r="D99" s="19"/>
      <c r="E99" s="19"/>
      <c r="F99" s="20"/>
      <c r="G99" s="20"/>
      <c r="H99" s="20"/>
      <c r="J99" s="20"/>
      <c r="K99" s="143"/>
    </row>
    <row r="100" spans="1:12">
      <c r="A100" s="250" t="s">
        <v>165</v>
      </c>
      <c r="B100" s="250"/>
      <c r="C100" s="250"/>
      <c r="D100" s="250"/>
      <c r="E100" s="250"/>
      <c r="F100" s="250"/>
      <c r="G100" s="250"/>
      <c r="H100" s="250"/>
      <c r="I100" s="250"/>
      <c r="J100" s="250"/>
      <c r="K100" s="250"/>
      <c r="L100"/>
    </row>
    <row r="101" spans="1:12">
      <c r="A101" s="19" t="s">
        <v>170</v>
      </c>
      <c r="B101" s="19"/>
      <c r="C101" s="19" t="s">
        <v>166</v>
      </c>
      <c r="D101" s="19"/>
      <c r="E101" s="19"/>
      <c r="F101" s="11">
        <v>100</v>
      </c>
      <c r="G101" s="11">
        <v>0</v>
      </c>
      <c r="H101" s="45">
        <v>1.79</v>
      </c>
      <c r="I101" s="11">
        <f t="shared" ref="I101:I103" si="13">(H101/11)*12</f>
        <v>1.9527272727272726</v>
      </c>
      <c r="J101" s="11">
        <v>5</v>
      </c>
      <c r="K101" s="114"/>
      <c r="L101"/>
    </row>
    <row r="102" spans="1:12">
      <c r="A102" s="19" t="s">
        <v>171</v>
      </c>
      <c r="B102" s="19"/>
      <c r="C102" s="19" t="s">
        <v>167</v>
      </c>
      <c r="D102" s="19"/>
      <c r="E102" s="19"/>
      <c r="F102" s="11">
        <v>100</v>
      </c>
      <c r="G102" s="11">
        <v>0</v>
      </c>
      <c r="H102" s="45">
        <v>22.78</v>
      </c>
      <c r="I102" s="11">
        <f t="shared" si="13"/>
        <v>24.850909090909092</v>
      </c>
      <c r="J102" s="11">
        <v>20</v>
      </c>
      <c r="K102" s="114"/>
      <c r="L102"/>
    </row>
    <row r="103" spans="1:12">
      <c r="A103" s="19" t="s">
        <v>172</v>
      </c>
      <c r="B103" s="19"/>
      <c r="C103" s="19" t="s">
        <v>168</v>
      </c>
      <c r="D103" s="19"/>
      <c r="E103" s="19"/>
      <c r="F103" s="11">
        <v>10000</v>
      </c>
      <c r="G103" s="11">
        <v>0</v>
      </c>
      <c r="H103" s="45">
        <v>12072.5</v>
      </c>
      <c r="I103" s="11">
        <f t="shared" si="13"/>
        <v>13170</v>
      </c>
      <c r="J103" s="11">
        <v>10000</v>
      </c>
      <c r="K103" s="114"/>
      <c r="L103"/>
    </row>
    <row r="104" spans="1:12" s="3" customFormat="1" ht="15.75" thickBot="1">
      <c r="A104" s="9"/>
      <c r="B104" s="9"/>
      <c r="C104" s="9" t="s">
        <v>948</v>
      </c>
      <c r="D104" s="9"/>
      <c r="E104" s="9"/>
      <c r="F104" s="35">
        <f>SUM(F101:F103)</f>
        <v>10200</v>
      </c>
      <c r="G104" s="35">
        <f t="shared" ref="G104:J104" si="14">SUM(G101:G103)</f>
        <v>0</v>
      </c>
      <c r="H104" s="35">
        <f t="shared" si="14"/>
        <v>12097.07</v>
      </c>
      <c r="I104" s="35">
        <f t="shared" si="14"/>
        <v>13196.803636363637</v>
      </c>
      <c r="J104" s="35">
        <f t="shared" si="14"/>
        <v>10025</v>
      </c>
      <c r="K104" s="109"/>
    </row>
    <row r="105" spans="1:12" ht="15.75" thickTop="1">
      <c r="A105" s="19"/>
      <c r="B105" s="19"/>
      <c r="C105" s="19"/>
      <c r="D105" s="19"/>
      <c r="E105" s="19"/>
      <c r="F105" s="20"/>
      <c r="G105" s="20"/>
      <c r="H105" s="20"/>
      <c r="J105" s="20"/>
      <c r="K105" s="143"/>
    </row>
    <row r="106" spans="1:12">
      <c r="A106" s="19"/>
      <c r="B106" s="19"/>
      <c r="C106" s="19"/>
      <c r="D106" s="19"/>
      <c r="E106" s="19"/>
      <c r="F106" s="20"/>
      <c r="G106" s="20"/>
      <c r="H106" s="20"/>
      <c r="J106" s="20"/>
      <c r="K106" s="143"/>
    </row>
    <row r="107" spans="1:12">
      <c r="A107" s="250" t="s">
        <v>173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/>
    </row>
    <row r="108" spans="1:12">
      <c r="A108" s="19" t="s">
        <v>792</v>
      </c>
      <c r="B108" s="19"/>
      <c r="C108" s="19" t="s">
        <v>793</v>
      </c>
      <c r="D108" s="19"/>
      <c r="E108" s="19"/>
      <c r="F108" s="11">
        <v>79500</v>
      </c>
      <c r="G108" s="11">
        <v>0</v>
      </c>
      <c r="H108" s="11">
        <v>0</v>
      </c>
      <c r="I108" s="30">
        <v>0</v>
      </c>
      <c r="J108" s="11">
        <v>0</v>
      </c>
      <c r="K108" s="114"/>
      <c r="L108"/>
    </row>
    <row r="109" spans="1:12">
      <c r="A109" s="19" t="s">
        <v>902</v>
      </c>
      <c r="B109" s="19"/>
      <c r="C109" s="19" t="s">
        <v>901</v>
      </c>
      <c r="D109" s="19"/>
      <c r="E109" s="19"/>
      <c r="F109" s="11">
        <v>0</v>
      </c>
      <c r="G109" s="11">
        <v>0</v>
      </c>
      <c r="H109" s="11">
        <v>0</v>
      </c>
      <c r="I109" s="30">
        <v>0</v>
      </c>
      <c r="J109" s="39">
        <v>209174.39999999999</v>
      </c>
      <c r="K109" s="114"/>
      <c r="L109"/>
    </row>
    <row r="110" spans="1:12">
      <c r="A110" s="19" t="s">
        <v>175</v>
      </c>
      <c r="B110" s="19"/>
      <c r="C110" s="19" t="s">
        <v>174</v>
      </c>
      <c r="D110" s="19"/>
      <c r="E110" s="19"/>
      <c r="F110" s="11">
        <v>4000</v>
      </c>
      <c r="G110" s="11">
        <v>0</v>
      </c>
      <c r="H110" s="45">
        <v>0</v>
      </c>
      <c r="I110" s="11">
        <v>4000</v>
      </c>
      <c r="J110" s="11">
        <v>4000</v>
      </c>
      <c r="K110" s="114"/>
      <c r="L110"/>
    </row>
    <row r="111" spans="1:12" s="3" customFormat="1" ht="15.75" thickBot="1">
      <c r="A111" s="9"/>
      <c r="B111" s="9"/>
      <c r="C111" s="9" t="s">
        <v>949</v>
      </c>
      <c r="D111" s="9"/>
      <c r="E111" s="9"/>
      <c r="F111" s="35">
        <f>SUM(F108:F110)</f>
        <v>83500</v>
      </c>
      <c r="G111" s="35">
        <f t="shared" ref="G111:J111" si="15">SUM(G108:G110)</f>
        <v>0</v>
      </c>
      <c r="H111" s="35">
        <f t="shared" si="15"/>
        <v>0</v>
      </c>
      <c r="I111" s="35">
        <f t="shared" si="15"/>
        <v>4000</v>
      </c>
      <c r="J111" s="35">
        <f t="shared" si="15"/>
        <v>213174.39999999999</v>
      </c>
      <c r="K111" s="109"/>
    </row>
    <row r="112" spans="1:12" ht="15.75" thickTop="1">
      <c r="A112" s="19"/>
      <c r="B112" s="19"/>
      <c r="C112" s="19"/>
      <c r="D112" s="19"/>
      <c r="E112" s="19"/>
      <c r="F112" s="20"/>
      <c r="G112" s="20"/>
      <c r="H112" s="20"/>
      <c r="J112" s="20"/>
      <c r="K112" s="143"/>
    </row>
    <row r="113" spans="1:12">
      <c r="A113" s="19"/>
      <c r="B113" s="19"/>
      <c r="C113" s="19"/>
      <c r="D113" s="19"/>
      <c r="E113" s="19"/>
      <c r="F113" s="20"/>
      <c r="G113" s="20"/>
      <c r="H113" s="20"/>
      <c r="J113" s="20"/>
      <c r="K113" s="143"/>
    </row>
    <row r="114" spans="1:12">
      <c r="A114" s="250" t="s">
        <v>176</v>
      </c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/>
    </row>
    <row r="115" spans="1:12">
      <c r="A115" s="19" t="s">
        <v>182</v>
      </c>
      <c r="B115" s="19"/>
      <c r="C115" s="19" t="s">
        <v>177</v>
      </c>
      <c r="D115" s="19"/>
      <c r="E115" s="19"/>
      <c r="F115" s="11">
        <v>0</v>
      </c>
      <c r="G115" s="11">
        <v>0</v>
      </c>
      <c r="H115" s="48">
        <v>1582.4</v>
      </c>
      <c r="I115" s="30">
        <v>1582</v>
      </c>
      <c r="J115" s="11">
        <v>0</v>
      </c>
      <c r="K115" s="114"/>
      <c r="L115"/>
    </row>
    <row r="116" spans="1:12">
      <c r="A116" s="19" t="s">
        <v>183</v>
      </c>
      <c r="B116" s="19"/>
      <c r="C116" s="19" t="s">
        <v>178</v>
      </c>
      <c r="D116" s="19"/>
      <c r="E116" s="19"/>
      <c r="F116" s="11">
        <v>0</v>
      </c>
      <c r="G116" s="11">
        <v>0</v>
      </c>
      <c r="H116" s="45">
        <v>0</v>
      </c>
      <c r="I116" s="30">
        <v>0</v>
      </c>
      <c r="J116" s="11">
        <v>0</v>
      </c>
      <c r="K116" s="114"/>
      <c r="L116"/>
    </row>
    <row r="117" spans="1:12">
      <c r="A117" s="19" t="s">
        <v>184</v>
      </c>
      <c r="B117" s="19"/>
      <c r="C117" s="19" t="s">
        <v>179</v>
      </c>
      <c r="D117" s="19"/>
      <c r="E117" s="19"/>
      <c r="F117" s="11">
        <v>0</v>
      </c>
      <c r="G117" s="11">
        <v>0</v>
      </c>
      <c r="H117" s="45">
        <v>0</v>
      </c>
      <c r="I117" s="30">
        <v>0</v>
      </c>
      <c r="J117" s="11">
        <v>0</v>
      </c>
      <c r="K117" s="114"/>
      <c r="L117"/>
    </row>
    <row r="118" spans="1:12">
      <c r="A118" s="19" t="s">
        <v>185</v>
      </c>
      <c r="B118" s="19"/>
      <c r="C118" s="19" t="s">
        <v>180</v>
      </c>
      <c r="D118" s="19"/>
      <c r="E118" s="19"/>
      <c r="F118" s="11">
        <v>0</v>
      </c>
      <c r="G118" s="11">
        <v>0</v>
      </c>
      <c r="H118" s="45">
        <v>0</v>
      </c>
      <c r="I118" s="30">
        <v>0</v>
      </c>
      <c r="J118" s="11">
        <v>0</v>
      </c>
      <c r="K118" s="114"/>
      <c r="L118"/>
    </row>
    <row r="119" spans="1:12">
      <c r="A119" s="19" t="s">
        <v>186</v>
      </c>
      <c r="B119" s="19"/>
      <c r="C119" s="19" t="s">
        <v>181</v>
      </c>
      <c r="D119" s="19"/>
      <c r="E119" s="19"/>
      <c r="F119" s="11">
        <v>0</v>
      </c>
      <c r="G119" s="11">
        <v>0</v>
      </c>
      <c r="H119" s="45">
        <v>100</v>
      </c>
      <c r="I119" s="47">
        <v>100</v>
      </c>
      <c r="J119" s="11">
        <v>0</v>
      </c>
      <c r="K119" s="114"/>
      <c r="L119"/>
    </row>
    <row r="120" spans="1:12" s="3" customFormat="1" ht="15.75" thickBot="1">
      <c r="A120" s="9"/>
      <c r="B120" s="9"/>
      <c r="C120" s="9" t="s">
        <v>950</v>
      </c>
      <c r="D120" s="9"/>
      <c r="E120" s="9"/>
      <c r="F120" s="35">
        <f>SUM(F115:F119)</f>
        <v>0</v>
      </c>
      <c r="G120" s="35">
        <f t="shared" ref="G120:J120" si="16">SUM(G115:G119)</f>
        <v>0</v>
      </c>
      <c r="H120" s="35">
        <f t="shared" si="16"/>
        <v>1682.4</v>
      </c>
      <c r="I120" s="35">
        <f t="shared" si="16"/>
        <v>1682</v>
      </c>
      <c r="J120" s="35">
        <f t="shared" si="16"/>
        <v>0</v>
      </c>
      <c r="K120" s="109"/>
    </row>
    <row r="121" spans="1:12" ht="15.75" thickTop="1">
      <c r="A121" s="19"/>
      <c r="B121" s="19"/>
      <c r="C121" s="19"/>
      <c r="D121" s="19"/>
      <c r="E121" s="19"/>
      <c r="F121" s="20"/>
      <c r="G121" s="20"/>
      <c r="H121" s="20"/>
      <c r="J121" s="20"/>
      <c r="K121" s="143"/>
    </row>
    <row r="122" spans="1:12">
      <c r="A122" s="19"/>
      <c r="B122" s="19"/>
      <c r="C122" s="19"/>
      <c r="D122" s="19"/>
      <c r="E122" s="19"/>
      <c r="F122" s="20"/>
      <c r="G122" s="20"/>
      <c r="H122" s="20"/>
      <c r="J122" s="20"/>
      <c r="K122" s="143"/>
    </row>
    <row r="123" spans="1:12">
      <c r="A123" s="250" t="s">
        <v>187</v>
      </c>
      <c r="B123" s="250"/>
      <c r="C123" s="250"/>
      <c r="D123" s="250"/>
      <c r="E123" s="250"/>
      <c r="F123" s="250"/>
      <c r="G123" s="250"/>
      <c r="H123" s="250"/>
      <c r="I123" s="250"/>
      <c r="J123" s="250"/>
      <c r="K123" s="250"/>
      <c r="L123"/>
    </row>
    <row r="124" spans="1:12">
      <c r="A124" s="19" t="s">
        <v>191</v>
      </c>
      <c r="B124" s="19"/>
      <c r="C124" s="19" t="s">
        <v>192</v>
      </c>
      <c r="D124" s="19"/>
      <c r="E124" s="19"/>
      <c r="F124" s="11">
        <v>0</v>
      </c>
      <c r="G124" s="11">
        <v>0</v>
      </c>
      <c r="H124" s="45">
        <v>6701.65</v>
      </c>
      <c r="I124" s="30">
        <v>4605</v>
      </c>
      <c r="J124" s="11">
        <v>0</v>
      </c>
      <c r="K124" s="114"/>
      <c r="L124"/>
    </row>
    <row r="125" spans="1:12">
      <c r="A125" s="19" t="s">
        <v>193</v>
      </c>
      <c r="B125" s="19"/>
      <c r="C125" s="19" t="s">
        <v>189</v>
      </c>
      <c r="D125" s="19"/>
      <c r="E125" s="19"/>
      <c r="F125" s="11">
        <v>0</v>
      </c>
      <c r="G125" s="11">
        <v>0</v>
      </c>
      <c r="H125" s="45">
        <v>186484.97</v>
      </c>
      <c r="I125" s="30">
        <v>13446</v>
      </c>
      <c r="J125" s="11">
        <v>0</v>
      </c>
      <c r="K125" s="114"/>
      <c r="L125"/>
    </row>
    <row r="126" spans="1:12" s="4" customFormat="1">
      <c r="A126" s="37" t="s">
        <v>194</v>
      </c>
      <c r="B126" s="37"/>
      <c r="C126" s="37" t="s">
        <v>190</v>
      </c>
      <c r="D126" s="37"/>
      <c r="E126" s="37"/>
      <c r="F126" s="39">
        <v>0</v>
      </c>
      <c r="G126" s="39">
        <v>0</v>
      </c>
      <c r="H126" s="46">
        <v>40000</v>
      </c>
      <c r="I126" s="47">
        <v>40000</v>
      </c>
      <c r="J126" s="39">
        <v>0</v>
      </c>
      <c r="K126" s="145"/>
    </row>
    <row r="127" spans="1:12" s="3" customFormat="1" ht="15.75" thickBot="1">
      <c r="A127" s="9"/>
      <c r="B127" s="9"/>
      <c r="C127" s="9" t="s">
        <v>951</v>
      </c>
      <c r="D127" s="9"/>
      <c r="E127" s="9"/>
      <c r="F127" s="35">
        <f>SUM(F124:F126)</f>
        <v>0</v>
      </c>
      <c r="G127" s="35">
        <f t="shared" ref="G127:J127" si="17">SUM(G124:G126)</f>
        <v>0</v>
      </c>
      <c r="H127" s="35">
        <f t="shared" si="17"/>
        <v>233186.62</v>
      </c>
      <c r="I127" s="35">
        <f t="shared" si="17"/>
        <v>58051</v>
      </c>
      <c r="J127" s="35">
        <f t="shared" si="17"/>
        <v>0</v>
      </c>
      <c r="K127" s="109"/>
    </row>
    <row r="128" spans="1:12" s="3" customFormat="1" ht="15.75" thickTop="1">
      <c r="A128" s="9"/>
      <c r="B128" s="9"/>
      <c r="C128" s="9"/>
      <c r="D128" s="9"/>
      <c r="E128" s="9"/>
      <c r="F128" s="118"/>
      <c r="G128" s="118"/>
      <c r="H128" s="118"/>
      <c r="I128" s="118"/>
      <c r="J128" s="118"/>
      <c r="K128" s="109"/>
    </row>
    <row r="129" spans="1:12">
      <c r="A129" s="19"/>
      <c r="B129" s="19"/>
      <c r="C129" s="19"/>
      <c r="D129" s="19"/>
      <c r="E129" s="19"/>
      <c r="F129" s="13"/>
      <c r="G129" s="13"/>
      <c r="H129" s="13"/>
      <c r="I129" s="13"/>
      <c r="J129" s="13"/>
      <c r="K129" s="114"/>
      <c r="L129"/>
    </row>
    <row r="130" spans="1:12" s="3" customFormat="1" ht="15.75" thickBot="1">
      <c r="A130" s="251" t="s">
        <v>997</v>
      </c>
      <c r="B130" s="251"/>
      <c r="C130" s="251"/>
      <c r="D130" s="9"/>
      <c r="E130" s="9"/>
      <c r="F130" s="34">
        <f>F22+F27+F42+F72+F78+F86+F97+F104+F111+F120+F127</f>
        <v>2100521</v>
      </c>
      <c r="G130" s="34">
        <f t="shared" ref="G130:J130" si="18">G22+G27+G42+G72+G78+G86+G97+G104+G111+G120+G127</f>
        <v>0</v>
      </c>
      <c r="H130" s="34">
        <f t="shared" si="18"/>
        <v>2498412.91</v>
      </c>
      <c r="I130" s="34">
        <f t="shared" si="18"/>
        <v>2490303.1236363635</v>
      </c>
      <c r="J130" s="34">
        <f t="shared" si="18"/>
        <v>2387096.4</v>
      </c>
      <c r="K130" s="109"/>
    </row>
    <row r="131" spans="1:12" ht="15.75" thickTop="1">
      <c r="A131" s="251" t="s">
        <v>880</v>
      </c>
      <c r="B131" s="251"/>
      <c r="C131" s="251"/>
      <c r="D131" s="251"/>
      <c r="E131" s="251"/>
      <c r="F131" s="251"/>
      <c r="G131" s="251"/>
      <c r="H131" s="251"/>
      <c r="I131" s="251"/>
      <c r="J131" s="251"/>
      <c r="K131" s="251"/>
      <c r="L131"/>
    </row>
    <row r="132" spans="1:12">
      <c r="A132" s="19"/>
      <c r="B132" s="19"/>
      <c r="C132" s="19"/>
      <c r="D132" s="19"/>
      <c r="E132" s="19"/>
      <c r="F132" s="20"/>
      <c r="G132" s="20"/>
      <c r="H132" s="20"/>
      <c r="J132" s="20"/>
      <c r="K132" s="143"/>
    </row>
    <row r="133" spans="1:12">
      <c r="A133" s="250" t="s">
        <v>195</v>
      </c>
      <c r="B133" s="250"/>
      <c r="C133" s="250"/>
      <c r="D133" s="250"/>
      <c r="E133" s="250"/>
      <c r="F133" s="250"/>
      <c r="G133" s="250"/>
      <c r="H133" s="250"/>
      <c r="I133" s="250"/>
      <c r="J133" s="250"/>
      <c r="K133" s="250"/>
      <c r="L133"/>
    </row>
    <row r="134" spans="1:12">
      <c r="A134" s="19" t="s">
        <v>6</v>
      </c>
      <c r="B134" s="19"/>
      <c r="C134" s="19" t="s">
        <v>196</v>
      </c>
      <c r="D134" s="19"/>
      <c r="E134" s="19"/>
      <c r="F134" s="11" t="s">
        <v>6</v>
      </c>
      <c r="G134" s="11"/>
      <c r="H134" s="11" t="s">
        <v>6</v>
      </c>
      <c r="I134" s="30" t="s">
        <v>6</v>
      </c>
      <c r="J134" s="11" t="s">
        <v>6</v>
      </c>
      <c r="K134" s="114"/>
      <c r="L134"/>
    </row>
    <row r="135" spans="1:12">
      <c r="A135" s="19" t="s">
        <v>999</v>
      </c>
      <c r="B135" s="19"/>
      <c r="C135" s="19" t="s">
        <v>1000</v>
      </c>
      <c r="D135" s="19"/>
      <c r="E135" s="19"/>
      <c r="F135" s="11">
        <v>0</v>
      </c>
      <c r="G135" s="11">
        <v>0</v>
      </c>
      <c r="H135" s="11">
        <v>0</v>
      </c>
      <c r="I135" s="30">
        <v>0</v>
      </c>
      <c r="J135" s="11">
        <v>0</v>
      </c>
      <c r="K135" s="114"/>
      <c r="L135"/>
    </row>
    <row r="136" spans="1:12" ht="15.75" thickBot="1">
      <c r="A136" s="19"/>
      <c r="B136" s="19"/>
      <c r="C136" s="19" t="s">
        <v>959</v>
      </c>
      <c r="D136" s="19"/>
      <c r="E136" s="19"/>
      <c r="F136" s="12">
        <f>SUM(F135)</f>
        <v>0</v>
      </c>
      <c r="G136" s="12">
        <f t="shared" ref="G136:J136" si="19">SUM(G135)</f>
        <v>0</v>
      </c>
      <c r="H136" s="12">
        <f t="shared" si="19"/>
        <v>0</v>
      </c>
      <c r="I136" s="12">
        <f t="shared" si="19"/>
        <v>0</v>
      </c>
      <c r="J136" s="12">
        <f t="shared" si="19"/>
        <v>0</v>
      </c>
      <c r="K136" s="114"/>
      <c r="L136"/>
    </row>
    <row r="137" spans="1:12" ht="15.75" thickTop="1">
      <c r="A137" s="19" t="s">
        <v>6</v>
      </c>
      <c r="B137" s="19"/>
      <c r="C137" s="19" t="s">
        <v>6</v>
      </c>
      <c r="D137" s="19"/>
      <c r="E137" s="19"/>
      <c r="F137" s="11" t="s">
        <v>6</v>
      </c>
      <c r="G137" s="11" t="s">
        <v>6</v>
      </c>
      <c r="H137" s="11" t="s">
        <v>6</v>
      </c>
      <c r="I137" s="30" t="s">
        <v>6</v>
      </c>
      <c r="J137" s="11" t="s">
        <v>6</v>
      </c>
      <c r="K137" s="114"/>
      <c r="L137"/>
    </row>
    <row r="138" spans="1:12">
      <c r="A138" s="19" t="s">
        <v>6</v>
      </c>
      <c r="B138" s="19"/>
      <c r="C138" s="19" t="s">
        <v>197</v>
      </c>
      <c r="D138" s="19"/>
      <c r="E138" s="19"/>
      <c r="F138" s="11" t="s">
        <v>6</v>
      </c>
      <c r="G138" s="11" t="s">
        <v>6</v>
      </c>
      <c r="H138" s="11" t="s">
        <v>6</v>
      </c>
      <c r="I138" s="30" t="s">
        <v>6</v>
      </c>
      <c r="J138" s="11" t="s">
        <v>6</v>
      </c>
      <c r="K138" s="114"/>
      <c r="L138"/>
    </row>
    <row r="139" spans="1:12">
      <c r="A139" s="19" t="s">
        <v>198</v>
      </c>
      <c r="B139" s="19"/>
      <c r="C139" s="19" t="s">
        <v>207</v>
      </c>
      <c r="D139" s="19"/>
      <c r="E139" s="19"/>
      <c r="F139" s="11">
        <v>0</v>
      </c>
      <c r="G139" s="11">
        <v>0</v>
      </c>
      <c r="H139" s="11">
        <v>0</v>
      </c>
      <c r="I139" s="30">
        <v>0</v>
      </c>
      <c r="J139" s="11">
        <v>0</v>
      </c>
      <c r="K139" s="114"/>
      <c r="L139"/>
    </row>
    <row r="140" spans="1:12" ht="15.75" thickBot="1">
      <c r="A140" s="19" t="s">
        <v>6</v>
      </c>
      <c r="B140" s="19"/>
      <c r="C140" s="19" t="s">
        <v>960</v>
      </c>
      <c r="D140" s="19"/>
      <c r="E140" s="19"/>
      <c r="F140" s="12">
        <f>SUM(F139)</f>
        <v>0</v>
      </c>
      <c r="G140" s="12">
        <f t="shared" ref="G140:J140" si="20">SUM(G139)</f>
        <v>0</v>
      </c>
      <c r="H140" s="12">
        <f t="shared" si="20"/>
        <v>0</v>
      </c>
      <c r="I140" s="12">
        <f t="shared" si="20"/>
        <v>0</v>
      </c>
      <c r="J140" s="12">
        <f t="shared" si="20"/>
        <v>0</v>
      </c>
      <c r="K140" s="114"/>
      <c r="L140"/>
    </row>
    <row r="141" spans="1:12" ht="16.5" thickTop="1" thickBot="1">
      <c r="A141" s="19"/>
      <c r="B141" s="19"/>
      <c r="C141" s="19"/>
      <c r="D141" s="19"/>
      <c r="E141" s="19"/>
      <c r="F141" s="12"/>
      <c r="G141" s="12"/>
      <c r="H141" s="12"/>
      <c r="I141" s="12"/>
      <c r="J141" s="12"/>
      <c r="K141" s="114"/>
      <c r="L141"/>
    </row>
    <row r="142" spans="1:12" s="3" customFormat="1" ht="16.5" thickTop="1" thickBot="1">
      <c r="A142" s="9"/>
      <c r="B142" s="9"/>
      <c r="C142" s="9" t="s">
        <v>953</v>
      </c>
      <c r="D142" s="9"/>
      <c r="E142" s="9"/>
      <c r="F142" s="35">
        <f>F136+F140</f>
        <v>0</v>
      </c>
      <c r="G142" s="35">
        <f t="shared" ref="G142:J142" si="21">G136+G140</f>
        <v>0</v>
      </c>
      <c r="H142" s="35">
        <f t="shared" si="21"/>
        <v>0</v>
      </c>
      <c r="I142" s="35">
        <f t="shared" si="21"/>
        <v>0</v>
      </c>
      <c r="J142" s="35">
        <f t="shared" si="21"/>
        <v>0</v>
      </c>
      <c r="K142" s="109"/>
    </row>
    <row r="143" spans="1:12" ht="15.75" thickTop="1">
      <c r="A143" s="19"/>
      <c r="B143" s="19"/>
      <c r="C143" s="19"/>
      <c r="D143" s="19"/>
      <c r="E143" s="19"/>
      <c r="F143" s="20"/>
      <c r="G143" s="20"/>
      <c r="H143" s="20"/>
      <c r="J143" s="20"/>
      <c r="K143" s="114"/>
      <c r="L143"/>
    </row>
    <row r="144" spans="1:12">
      <c r="A144" s="19" t="s">
        <v>6</v>
      </c>
      <c r="B144" s="19"/>
      <c r="C144" s="19" t="s">
        <v>199</v>
      </c>
      <c r="D144" s="19"/>
      <c r="E144" s="19"/>
      <c r="F144" s="11" t="s">
        <v>6</v>
      </c>
      <c r="G144" s="11"/>
      <c r="H144" s="11" t="s">
        <v>6</v>
      </c>
      <c r="I144" s="30" t="s">
        <v>6</v>
      </c>
      <c r="J144" s="11" t="s">
        <v>6</v>
      </c>
      <c r="K144" s="114"/>
      <c r="L144"/>
    </row>
    <row r="145" spans="1:12">
      <c r="A145" s="19" t="s">
        <v>910</v>
      </c>
      <c r="B145" s="19"/>
      <c r="C145" s="19" t="s">
        <v>200</v>
      </c>
      <c r="D145" s="19"/>
      <c r="E145" s="19"/>
      <c r="F145" s="11">
        <v>3000</v>
      </c>
      <c r="G145" s="11">
        <v>0</v>
      </c>
      <c r="H145" s="11">
        <v>2029.22</v>
      </c>
      <c r="I145" s="39">
        <v>2029.22</v>
      </c>
      <c r="J145" s="11">
        <v>3000</v>
      </c>
      <c r="K145" s="1"/>
      <c r="L145"/>
    </row>
    <row r="146" spans="1:12" s="3" customFormat="1" ht="15.75" thickBot="1">
      <c r="A146" s="9"/>
      <c r="B146" s="9"/>
      <c r="C146" s="9" t="s">
        <v>954</v>
      </c>
      <c r="D146" s="9"/>
      <c r="E146" s="9"/>
      <c r="F146" s="35">
        <f>SUM(F145:F145)</f>
        <v>3000</v>
      </c>
      <c r="G146" s="35">
        <f t="shared" ref="G146:J146" si="22">SUM(G145:G145)</f>
        <v>0</v>
      </c>
      <c r="H146" s="35">
        <f t="shared" si="22"/>
        <v>2029.22</v>
      </c>
      <c r="I146" s="35">
        <f t="shared" si="22"/>
        <v>2029.22</v>
      </c>
      <c r="J146" s="35">
        <f t="shared" si="22"/>
        <v>3000</v>
      </c>
      <c r="K146" s="2"/>
    </row>
    <row r="147" spans="1:12" ht="15.75" thickTop="1">
      <c r="A147" s="19"/>
      <c r="B147" s="19"/>
      <c r="C147" s="19"/>
      <c r="D147" s="19"/>
      <c r="E147" s="19"/>
      <c r="F147" s="20"/>
      <c r="G147" s="20"/>
      <c r="H147" s="20"/>
      <c r="J147" s="20"/>
      <c r="K147" s="1"/>
      <c r="L147"/>
    </row>
    <row r="148" spans="1:12" s="3" customFormat="1" ht="15.75" thickBot="1">
      <c r="A148" s="9"/>
      <c r="B148" s="9"/>
      <c r="C148" s="9" t="s">
        <v>952</v>
      </c>
      <c r="D148" s="9"/>
      <c r="E148" s="9"/>
      <c r="F148" s="34">
        <f>F142+F146</f>
        <v>3000</v>
      </c>
      <c r="G148" s="34">
        <f t="shared" ref="G148:J148" si="23">G142+G146</f>
        <v>0</v>
      </c>
      <c r="H148" s="34">
        <f t="shared" si="23"/>
        <v>2029.22</v>
      </c>
      <c r="I148" s="34">
        <f t="shared" si="23"/>
        <v>2029.22</v>
      </c>
      <c r="J148" s="34">
        <f t="shared" si="23"/>
        <v>3000</v>
      </c>
      <c r="K148" s="2"/>
    </row>
    <row r="149" spans="1:12" ht="15.75" thickTop="1">
      <c r="A149" s="19"/>
      <c r="B149" s="19"/>
      <c r="C149" s="19"/>
      <c r="D149" s="19"/>
      <c r="E149" s="19"/>
      <c r="F149" s="20"/>
      <c r="G149" s="20"/>
      <c r="H149" s="20"/>
      <c r="J149" s="20"/>
      <c r="K149" s="143"/>
    </row>
    <row r="150" spans="1:12">
      <c r="A150" s="19"/>
      <c r="B150" s="19"/>
      <c r="C150" s="19"/>
      <c r="D150" s="19"/>
      <c r="E150" s="19"/>
      <c r="F150" s="20"/>
      <c r="G150" s="20"/>
      <c r="H150" s="20"/>
      <c r="J150" s="20"/>
      <c r="K150" s="143"/>
    </row>
    <row r="151" spans="1:12">
      <c r="A151" s="250" t="s">
        <v>833</v>
      </c>
      <c r="B151" s="250"/>
      <c r="C151" s="250"/>
      <c r="D151" s="250"/>
      <c r="E151" s="250"/>
      <c r="F151" s="250"/>
      <c r="G151" s="250"/>
      <c r="H151" s="250"/>
      <c r="I151" s="250"/>
      <c r="J151" s="250"/>
      <c r="K151" s="250"/>
      <c r="L151"/>
    </row>
    <row r="152" spans="1:12">
      <c r="A152" s="19" t="s">
        <v>6</v>
      </c>
      <c r="B152" s="19"/>
      <c r="C152" s="19" t="s">
        <v>196</v>
      </c>
      <c r="D152" s="19"/>
      <c r="E152" s="19"/>
      <c r="F152" s="11" t="s">
        <v>6</v>
      </c>
      <c r="G152" s="11" t="s">
        <v>6</v>
      </c>
      <c r="H152" s="11" t="s">
        <v>6</v>
      </c>
      <c r="I152" s="30" t="s">
        <v>6</v>
      </c>
      <c r="J152" s="11" t="s">
        <v>6</v>
      </c>
      <c r="K152" s="143"/>
    </row>
    <row r="153" spans="1:12" s="4" customFormat="1">
      <c r="A153" s="37" t="s">
        <v>205</v>
      </c>
      <c r="B153" s="37"/>
      <c r="C153" s="37" t="s">
        <v>1001</v>
      </c>
      <c r="D153" s="37"/>
      <c r="E153" s="37"/>
      <c r="F153" s="39">
        <v>4576</v>
      </c>
      <c r="G153" s="39">
        <v>0</v>
      </c>
      <c r="H153" s="39">
        <v>4087.02</v>
      </c>
      <c r="I153" s="39">
        <v>4034.02</v>
      </c>
      <c r="J153" s="39">
        <v>4750</v>
      </c>
      <c r="K153" s="147"/>
      <c r="L153" s="33"/>
    </row>
    <row r="154" spans="1:12" ht="15.75" thickBot="1">
      <c r="A154" s="19"/>
      <c r="B154" s="19"/>
      <c r="C154" s="19" t="s">
        <v>959</v>
      </c>
      <c r="D154" s="19"/>
      <c r="E154" s="19"/>
      <c r="F154" s="12">
        <f>SUM(F153)</f>
        <v>4576</v>
      </c>
      <c r="G154" s="12">
        <f t="shared" ref="G154:J154" si="24">SUM(G153)</f>
        <v>0</v>
      </c>
      <c r="H154" s="12">
        <f t="shared" si="24"/>
        <v>4087.02</v>
      </c>
      <c r="I154" s="12">
        <f t="shared" si="24"/>
        <v>4034.02</v>
      </c>
      <c r="J154" s="12">
        <f t="shared" si="24"/>
        <v>4750</v>
      </c>
      <c r="K154" s="114"/>
      <c r="L154"/>
    </row>
    <row r="155" spans="1:12" ht="15.75" thickTop="1">
      <c r="A155" s="19"/>
      <c r="B155" s="19"/>
      <c r="C155" s="19"/>
      <c r="D155" s="19"/>
      <c r="E155" s="19"/>
      <c r="F155" s="11"/>
      <c r="G155" s="11"/>
      <c r="H155" s="11"/>
      <c r="I155" s="30"/>
      <c r="J155" s="11"/>
      <c r="K155" s="143"/>
    </row>
    <row r="156" spans="1:12">
      <c r="A156" s="19"/>
      <c r="B156" s="19"/>
      <c r="C156" s="19" t="s">
        <v>197</v>
      </c>
      <c r="D156" s="19"/>
      <c r="E156" s="19"/>
      <c r="F156" s="11"/>
      <c r="G156" s="11"/>
      <c r="H156" s="11"/>
      <c r="I156" s="30"/>
      <c r="J156" s="11"/>
      <c r="K156" s="143"/>
    </row>
    <row r="157" spans="1:12" s="4" customFormat="1">
      <c r="A157" s="37" t="s">
        <v>206</v>
      </c>
      <c r="B157" s="37"/>
      <c r="C157" s="37" t="s">
        <v>207</v>
      </c>
      <c r="D157" s="37"/>
      <c r="E157" s="37"/>
      <c r="F157" s="39">
        <v>341</v>
      </c>
      <c r="G157" s="39">
        <v>0</v>
      </c>
      <c r="H157" s="39">
        <v>312.66000000000003</v>
      </c>
      <c r="I157" s="39">
        <f>I153*0.0765</f>
        <v>308.60253</v>
      </c>
      <c r="J157" s="39">
        <f>J153*0.0765</f>
        <v>363.375</v>
      </c>
      <c r="K157" s="145"/>
    </row>
    <row r="158" spans="1:12" ht="15.75" thickBot="1">
      <c r="A158" s="19" t="s">
        <v>6</v>
      </c>
      <c r="B158" s="19"/>
      <c r="C158" s="19" t="s">
        <v>960</v>
      </c>
      <c r="D158" s="19"/>
      <c r="E158" s="19"/>
      <c r="F158" s="12">
        <f>SUM(F157)</f>
        <v>341</v>
      </c>
      <c r="G158" s="12">
        <f t="shared" ref="G158:J158" si="25">SUM(G157)</f>
        <v>0</v>
      </c>
      <c r="H158" s="12">
        <f t="shared" si="25"/>
        <v>312.66000000000003</v>
      </c>
      <c r="I158" s="12">
        <f t="shared" si="25"/>
        <v>308.60253</v>
      </c>
      <c r="J158" s="12">
        <f t="shared" si="25"/>
        <v>363.375</v>
      </c>
      <c r="K158" s="114"/>
      <c r="L158"/>
    </row>
    <row r="159" spans="1:12" ht="16.5" thickTop="1" thickBot="1">
      <c r="A159" s="19"/>
      <c r="B159" s="19"/>
      <c r="C159" s="19"/>
      <c r="D159" s="19"/>
      <c r="E159" s="19"/>
      <c r="F159" s="12"/>
      <c r="G159" s="12"/>
      <c r="H159" s="12"/>
      <c r="I159" s="12"/>
      <c r="J159" s="12"/>
      <c r="K159" s="114"/>
      <c r="L159"/>
    </row>
    <row r="160" spans="1:12" s="3" customFormat="1" ht="16.5" thickTop="1" thickBot="1">
      <c r="A160" s="9"/>
      <c r="B160" s="9"/>
      <c r="C160" s="9" t="s">
        <v>953</v>
      </c>
      <c r="D160" s="9"/>
      <c r="E160" s="9"/>
      <c r="F160" s="35">
        <f>F154+F158</f>
        <v>4917</v>
      </c>
      <c r="G160" s="35">
        <f t="shared" ref="G160:J160" si="26">G154+G158</f>
        <v>0</v>
      </c>
      <c r="H160" s="35">
        <f t="shared" si="26"/>
        <v>4399.68</v>
      </c>
      <c r="I160" s="35">
        <f t="shared" si="26"/>
        <v>4342.6225299999996</v>
      </c>
      <c r="J160" s="35">
        <f t="shared" si="26"/>
        <v>5113.375</v>
      </c>
      <c r="K160" s="109"/>
    </row>
    <row r="161" spans="1:12" ht="15.75" thickTop="1">
      <c r="A161" s="19"/>
      <c r="B161" s="19"/>
      <c r="C161" s="19"/>
      <c r="D161" s="19"/>
      <c r="E161" s="19"/>
      <c r="F161" s="20"/>
      <c r="G161" s="20"/>
      <c r="H161" s="20"/>
      <c r="J161" s="20"/>
      <c r="K161" s="143"/>
    </row>
    <row r="162" spans="1:12">
      <c r="A162" s="19"/>
      <c r="B162" s="19"/>
      <c r="C162" s="19" t="s">
        <v>202</v>
      </c>
      <c r="D162" s="19"/>
      <c r="E162" s="19"/>
      <c r="F162" s="20"/>
      <c r="G162" s="20"/>
      <c r="H162" s="20"/>
      <c r="J162" s="20"/>
      <c r="K162" s="143"/>
    </row>
    <row r="163" spans="1:12">
      <c r="A163" s="37" t="s">
        <v>209</v>
      </c>
      <c r="B163" s="37"/>
      <c r="C163" s="37" t="s">
        <v>208</v>
      </c>
      <c r="D163" s="37"/>
      <c r="E163" s="37"/>
      <c r="F163" s="39">
        <v>150</v>
      </c>
      <c r="G163" s="39">
        <v>0</v>
      </c>
      <c r="H163" s="39">
        <v>40</v>
      </c>
      <c r="I163" s="47">
        <v>40</v>
      </c>
      <c r="J163" s="39">
        <v>50</v>
      </c>
      <c r="K163" s="145"/>
      <c r="L163"/>
    </row>
    <row r="164" spans="1:12">
      <c r="A164" s="19" t="s">
        <v>209</v>
      </c>
      <c r="B164" s="19"/>
      <c r="C164" s="19" t="s">
        <v>210</v>
      </c>
      <c r="D164" s="19"/>
      <c r="E164" s="19"/>
      <c r="F164" s="11">
        <v>4800</v>
      </c>
      <c r="G164" s="11">
        <v>0</v>
      </c>
      <c r="H164" s="11">
        <v>4400</v>
      </c>
      <c r="I164" s="30">
        <v>4800</v>
      </c>
      <c r="J164" s="11">
        <v>4800</v>
      </c>
      <c r="K164" s="114"/>
      <c r="L164"/>
    </row>
    <row r="165" spans="1:12" s="3" customFormat="1" ht="15.75" thickBot="1">
      <c r="A165" s="9"/>
      <c r="B165" s="9"/>
      <c r="C165" s="9" t="s">
        <v>955</v>
      </c>
      <c r="D165" s="9"/>
      <c r="E165" s="9"/>
      <c r="F165" s="35">
        <f>SUM(F163:F164)</f>
        <v>4950</v>
      </c>
      <c r="G165" s="35">
        <f t="shared" ref="G165:J165" si="27">SUM(G163:G164)</f>
        <v>0</v>
      </c>
      <c r="H165" s="35">
        <f t="shared" si="27"/>
        <v>4440</v>
      </c>
      <c r="I165" s="35">
        <f t="shared" si="27"/>
        <v>4840</v>
      </c>
      <c r="J165" s="35">
        <f t="shared" si="27"/>
        <v>4850</v>
      </c>
      <c r="K165" s="109"/>
    </row>
    <row r="166" spans="1:12" ht="15.75" thickTop="1">
      <c r="A166" s="19"/>
      <c r="B166" s="19"/>
      <c r="C166" s="19"/>
      <c r="D166" s="19"/>
      <c r="E166" s="19"/>
      <c r="F166" s="20"/>
      <c r="G166" s="20"/>
      <c r="H166" s="20"/>
      <c r="J166" s="20"/>
      <c r="K166" s="143"/>
    </row>
    <row r="167" spans="1:12">
      <c r="A167" s="19"/>
      <c r="B167" s="19"/>
      <c r="C167" s="19" t="s">
        <v>204</v>
      </c>
      <c r="D167" s="19"/>
      <c r="E167" s="19"/>
      <c r="F167" s="20"/>
      <c r="G167" s="20"/>
      <c r="H167" s="20"/>
      <c r="J167" s="20"/>
      <c r="K167" s="143"/>
    </row>
    <row r="168" spans="1:12">
      <c r="A168" s="37" t="s">
        <v>211</v>
      </c>
      <c r="B168" s="37"/>
      <c r="C168" s="37" t="s">
        <v>212</v>
      </c>
      <c r="D168" s="37"/>
      <c r="E168" s="37"/>
      <c r="F168" s="39">
        <v>150</v>
      </c>
      <c r="G168" s="39">
        <v>0</v>
      </c>
      <c r="H168" s="39">
        <v>63.4</v>
      </c>
      <c r="I168" s="39">
        <v>63</v>
      </c>
      <c r="J168" s="39">
        <v>65</v>
      </c>
      <c r="K168" s="145"/>
      <c r="L168"/>
    </row>
    <row r="169" spans="1:12" s="3" customFormat="1" ht="15.75" thickBot="1">
      <c r="A169" s="9"/>
      <c r="B169" s="9"/>
      <c r="C169" s="9" t="s">
        <v>956</v>
      </c>
      <c r="D169" s="9"/>
      <c r="E169" s="9"/>
      <c r="F169" s="35">
        <f t="shared" ref="F169:J169" si="28">SUM(F168)</f>
        <v>150</v>
      </c>
      <c r="G169" s="35">
        <f t="shared" si="28"/>
        <v>0</v>
      </c>
      <c r="H169" s="35">
        <f t="shared" si="28"/>
        <v>63.4</v>
      </c>
      <c r="I169" s="35">
        <f t="shared" si="28"/>
        <v>63</v>
      </c>
      <c r="J169" s="35">
        <f t="shared" si="28"/>
        <v>65</v>
      </c>
      <c r="K169" s="109"/>
    </row>
    <row r="170" spans="1:12" ht="15.75" thickTop="1">
      <c r="A170" s="19"/>
      <c r="B170" s="19"/>
      <c r="C170" s="19"/>
      <c r="D170" s="19"/>
      <c r="E170" s="19"/>
      <c r="F170" s="20"/>
      <c r="G170" s="20"/>
      <c r="H170" s="20"/>
      <c r="J170" s="20"/>
      <c r="K170" s="114"/>
      <c r="L170"/>
    </row>
    <row r="171" spans="1:12" s="3" customFormat="1" ht="15.75" thickBot="1">
      <c r="A171" s="9"/>
      <c r="B171" s="9"/>
      <c r="C171" s="9" t="s">
        <v>957</v>
      </c>
      <c r="D171" s="9"/>
      <c r="E171" s="9"/>
      <c r="F171" s="34">
        <f>F160+F165+F169</f>
        <v>10017</v>
      </c>
      <c r="G171" s="34">
        <f t="shared" ref="G171:J171" si="29">G160+G165+G169</f>
        <v>0</v>
      </c>
      <c r="H171" s="34">
        <f t="shared" si="29"/>
        <v>8903.08</v>
      </c>
      <c r="I171" s="34">
        <f t="shared" si="29"/>
        <v>9245.6225300000006</v>
      </c>
      <c r="J171" s="34">
        <f t="shared" si="29"/>
        <v>10028.375</v>
      </c>
      <c r="K171" s="109"/>
    </row>
    <row r="172" spans="1:12" ht="15.75" thickTop="1">
      <c r="A172" s="19"/>
      <c r="B172" s="19"/>
      <c r="C172" s="9"/>
      <c r="D172" s="19"/>
      <c r="E172" s="19"/>
      <c r="F172" s="22"/>
      <c r="G172" s="22"/>
      <c r="H172" s="22"/>
      <c r="I172" s="22"/>
      <c r="J172" s="22"/>
      <c r="K172" s="146"/>
    </row>
    <row r="173" spans="1:12">
      <c r="A173" s="19"/>
      <c r="B173" s="19"/>
      <c r="C173" s="9"/>
      <c r="D173" s="19"/>
      <c r="E173" s="19"/>
      <c r="F173" s="22"/>
      <c r="G173" s="22"/>
      <c r="H173" s="22"/>
      <c r="I173" s="22"/>
      <c r="J173" s="22"/>
      <c r="K173" s="146"/>
    </row>
    <row r="174" spans="1:12">
      <c r="A174" s="250" t="s">
        <v>213</v>
      </c>
      <c r="B174" s="250"/>
      <c r="C174" s="250"/>
      <c r="D174" s="250"/>
      <c r="E174" s="250"/>
      <c r="F174" s="250"/>
      <c r="G174" s="250"/>
      <c r="H174" s="250"/>
      <c r="I174" s="250"/>
      <c r="J174" s="250"/>
      <c r="K174" s="250"/>
      <c r="L174"/>
    </row>
    <row r="175" spans="1:12">
      <c r="A175" s="19"/>
      <c r="B175" s="19"/>
      <c r="C175" s="19" t="s">
        <v>202</v>
      </c>
      <c r="D175" s="19"/>
      <c r="E175" s="19"/>
      <c r="F175" s="22"/>
      <c r="G175" s="22"/>
      <c r="H175" s="22"/>
      <c r="I175" s="22"/>
      <c r="J175" s="22"/>
      <c r="K175" s="146"/>
    </row>
    <row r="176" spans="1:12">
      <c r="A176" s="19" t="s">
        <v>214</v>
      </c>
      <c r="B176" s="19"/>
      <c r="C176" s="19" t="s">
        <v>215</v>
      </c>
      <c r="D176" s="19"/>
      <c r="E176" s="19"/>
      <c r="F176" s="11">
        <v>4000</v>
      </c>
      <c r="G176" s="11">
        <v>0</v>
      </c>
      <c r="H176" s="11">
        <v>57.24</v>
      </c>
      <c r="I176" s="30">
        <v>57</v>
      </c>
      <c r="J176" s="11">
        <v>0</v>
      </c>
      <c r="K176" s="114"/>
      <c r="L176"/>
    </row>
    <row r="177" spans="1:12" s="3" customFormat="1" ht="15.75" thickBot="1">
      <c r="A177" s="9"/>
      <c r="B177" s="9"/>
      <c r="C177" s="9" t="s">
        <v>955</v>
      </c>
      <c r="D177" s="9"/>
      <c r="E177" s="9"/>
      <c r="F177" s="35">
        <f>SUM(F176)</f>
        <v>4000</v>
      </c>
      <c r="G177" s="35">
        <f t="shared" ref="G177:J177" si="30">SUM(G176)</f>
        <v>0</v>
      </c>
      <c r="H177" s="35">
        <f t="shared" si="30"/>
        <v>57.24</v>
      </c>
      <c r="I177" s="35">
        <f t="shared" si="30"/>
        <v>57</v>
      </c>
      <c r="J177" s="35">
        <f t="shared" si="30"/>
        <v>0</v>
      </c>
      <c r="K177" s="109"/>
    </row>
    <row r="178" spans="1:12" ht="15.75" thickTop="1">
      <c r="A178" s="19"/>
      <c r="B178" s="19"/>
      <c r="C178" s="19"/>
      <c r="D178" s="19"/>
      <c r="E178" s="19"/>
      <c r="F178" s="13"/>
      <c r="G178" s="13"/>
      <c r="H178" s="13"/>
      <c r="I178" s="13"/>
      <c r="J178" s="13"/>
      <c r="K178" s="114"/>
      <c r="L178"/>
    </row>
    <row r="179" spans="1:12" s="3" customFormat="1" ht="15.75" thickBot="1">
      <c r="A179" s="9"/>
      <c r="B179" s="9"/>
      <c r="C179" s="9" t="s">
        <v>958</v>
      </c>
      <c r="D179" s="9"/>
      <c r="E179" s="9"/>
      <c r="F179" s="35">
        <f>F177</f>
        <v>4000</v>
      </c>
      <c r="G179" s="35">
        <f t="shared" ref="G179:J179" si="31">G177</f>
        <v>0</v>
      </c>
      <c r="H179" s="35">
        <f t="shared" si="31"/>
        <v>57.24</v>
      </c>
      <c r="I179" s="35">
        <f t="shared" si="31"/>
        <v>57</v>
      </c>
      <c r="J179" s="35">
        <f t="shared" si="31"/>
        <v>0</v>
      </c>
      <c r="K179" s="109"/>
    </row>
    <row r="180" spans="1:12" ht="15.75" thickTop="1">
      <c r="A180" s="19"/>
      <c r="B180" s="19"/>
      <c r="C180" s="19"/>
      <c r="D180" s="19"/>
      <c r="E180" s="19"/>
      <c r="F180" s="20"/>
      <c r="G180" s="20"/>
      <c r="H180" s="20"/>
      <c r="J180" s="20"/>
      <c r="K180" s="143"/>
    </row>
    <row r="181" spans="1:12">
      <c r="A181" s="19"/>
      <c r="B181" s="19"/>
      <c r="C181" s="19"/>
      <c r="D181" s="19"/>
      <c r="E181" s="19"/>
      <c r="F181" s="20"/>
      <c r="G181" s="20"/>
      <c r="H181" s="20"/>
      <c r="J181" s="20"/>
      <c r="K181" s="143"/>
    </row>
    <row r="182" spans="1:12">
      <c r="A182" s="250" t="s">
        <v>834</v>
      </c>
      <c r="B182" s="250"/>
      <c r="C182" s="250"/>
      <c r="D182" s="250"/>
      <c r="E182" s="250"/>
      <c r="F182" s="250"/>
      <c r="G182" s="250"/>
      <c r="H182" s="250"/>
      <c r="I182" s="250"/>
      <c r="J182" s="250"/>
      <c r="K182" s="250"/>
      <c r="L182"/>
    </row>
    <row r="183" spans="1:12">
      <c r="A183" s="19"/>
      <c r="B183" s="19"/>
      <c r="C183" s="19" t="s">
        <v>218</v>
      </c>
      <c r="D183" s="19"/>
      <c r="E183" s="19"/>
      <c r="F183" s="20"/>
      <c r="G183" s="20"/>
      <c r="H183" s="20"/>
      <c r="J183" s="20"/>
      <c r="K183" s="143"/>
    </row>
    <row r="184" spans="1:12" s="4" customFormat="1">
      <c r="A184" s="37" t="s">
        <v>219</v>
      </c>
      <c r="B184" s="37"/>
      <c r="C184" s="37" t="s">
        <v>1002</v>
      </c>
      <c r="D184" s="37"/>
      <c r="E184" s="37"/>
      <c r="F184" s="39">
        <v>65000</v>
      </c>
      <c r="G184" s="39">
        <v>0</v>
      </c>
      <c r="H184" s="39">
        <v>38537.06</v>
      </c>
      <c r="I184" s="39">
        <v>38441.760000000002</v>
      </c>
      <c r="J184" s="39">
        <v>45000</v>
      </c>
      <c r="K184" s="145"/>
    </row>
    <row r="185" spans="1:12" ht="15.75" thickBot="1">
      <c r="A185" s="19"/>
      <c r="B185" s="19"/>
      <c r="C185" s="19" t="s">
        <v>959</v>
      </c>
      <c r="D185" s="19"/>
      <c r="E185" s="19"/>
      <c r="F185" s="12">
        <f>SUM(F184)</f>
        <v>65000</v>
      </c>
      <c r="G185" s="12">
        <f t="shared" ref="G185:J185" si="32">SUM(G184)</f>
        <v>0</v>
      </c>
      <c r="H185" s="12">
        <v>16495.29</v>
      </c>
      <c r="I185" s="12">
        <f t="shared" si="32"/>
        <v>38441.760000000002</v>
      </c>
      <c r="J185" s="12">
        <f t="shared" si="32"/>
        <v>45000</v>
      </c>
      <c r="K185" s="114"/>
      <c r="L185"/>
    </row>
    <row r="186" spans="1:12" ht="15.75" thickTop="1">
      <c r="A186" s="19" t="s">
        <v>6</v>
      </c>
      <c r="B186" s="19"/>
      <c r="C186" s="19" t="s">
        <v>6</v>
      </c>
      <c r="D186" s="19"/>
      <c r="E186" s="19"/>
      <c r="F186" s="11" t="s">
        <v>6</v>
      </c>
      <c r="G186" s="11" t="s">
        <v>6</v>
      </c>
      <c r="H186" s="11">
        <v>5797.84</v>
      </c>
      <c r="I186" s="30" t="s">
        <v>6</v>
      </c>
      <c r="J186" s="11" t="s">
        <v>6</v>
      </c>
      <c r="K186" s="143"/>
    </row>
    <row r="187" spans="1:12">
      <c r="A187" s="19" t="s">
        <v>6</v>
      </c>
      <c r="B187" s="19"/>
      <c r="C187" s="19" t="s">
        <v>197</v>
      </c>
      <c r="D187" s="19"/>
      <c r="E187" s="19"/>
      <c r="F187" s="11" t="s">
        <v>6</v>
      </c>
      <c r="G187" s="11" t="s">
        <v>6</v>
      </c>
      <c r="H187" s="11">
        <v>4606</v>
      </c>
      <c r="I187" s="30" t="s">
        <v>6</v>
      </c>
      <c r="J187" s="11" t="s">
        <v>6</v>
      </c>
      <c r="K187" s="143"/>
    </row>
    <row r="188" spans="1:12" s="4" customFormat="1">
      <c r="A188" s="37" t="s">
        <v>220</v>
      </c>
      <c r="B188" s="37"/>
      <c r="C188" s="37" t="s">
        <v>221</v>
      </c>
      <c r="D188" s="37"/>
      <c r="E188" s="37"/>
      <c r="F188" s="39">
        <v>28000</v>
      </c>
      <c r="G188" s="39">
        <v>0</v>
      </c>
      <c r="H188" s="39">
        <v>27956.3</v>
      </c>
      <c r="I188" s="39">
        <f>(H188/11)*12</f>
        <v>30497.781818181818</v>
      </c>
      <c r="J188" s="39">
        <v>18000</v>
      </c>
      <c r="K188" s="145"/>
    </row>
    <row r="189" spans="1:12" s="4" customFormat="1">
      <c r="A189" s="37" t="s">
        <v>222</v>
      </c>
      <c r="B189" s="37"/>
      <c r="C189" s="37" t="s">
        <v>207</v>
      </c>
      <c r="D189" s="37"/>
      <c r="E189" s="37"/>
      <c r="F189" s="39">
        <f>F185*0.0765</f>
        <v>4972.5</v>
      </c>
      <c r="G189" s="39">
        <f t="shared" ref="G189:J189" si="33">G185*0.0765</f>
        <v>0</v>
      </c>
      <c r="H189" s="39">
        <v>5797.84</v>
      </c>
      <c r="I189" s="39">
        <f>H189+((I185-H185)*0.0765)</f>
        <v>7476.7449550000001</v>
      </c>
      <c r="J189" s="39">
        <f t="shared" si="33"/>
        <v>3442.5</v>
      </c>
      <c r="K189" s="145"/>
    </row>
    <row r="190" spans="1:12">
      <c r="A190" s="19" t="s">
        <v>223</v>
      </c>
      <c r="B190" s="19"/>
      <c r="C190" s="19" t="s">
        <v>224</v>
      </c>
      <c r="D190" s="19"/>
      <c r="E190" s="19"/>
      <c r="F190" s="11">
        <v>5000</v>
      </c>
      <c r="G190" s="11">
        <v>0</v>
      </c>
      <c r="H190" s="11">
        <v>4606</v>
      </c>
      <c r="I190" s="30">
        <v>5000</v>
      </c>
      <c r="J190" s="30">
        <v>5000</v>
      </c>
      <c r="K190" s="114"/>
      <c r="L190"/>
    </row>
    <row r="191" spans="1:12">
      <c r="A191" s="37" t="s">
        <v>225</v>
      </c>
      <c r="B191" s="37"/>
      <c r="C191" s="37" t="s">
        <v>226</v>
      </c>
      <c r="D191" s="37"/>
      <c r="E191" s="37"/>
      <c r="F191" s="39">
        <v>26000</v>
      </c>
      <c r="G191" s="39">
        <v>0</v>
      </c>
      <c r="H191" s="39">
        <v>27956.3</v>
      </c>
      <c r="I191" s="39">
        <f>(H191/11)*12</f>
        <v>30497.781818181818</v>
      </c>
      <c r="J191" s="47">
        <v>50000</v>
      </c>
      <c r="K191" s="145"/>
      <c r="L191"/>
    </row>
    <row r="192" spans="1:12">
      <c r="A192" s="19" t="s">
        <v>227</v>
      </c>
      <c r="B192" s="19"/>
      <c r="C192" s="19" t="s">
        <v>228</v>
      </c>
      <c r="D192" s="19"/>
      <c r="E192" s="19"/>
      <c r="F192" s="11">
        <v>5000</v>
      </c>
      <c r="G192" s="11">
        <v>0</v>
      </c>
      <c r="H192" s="11">
        <v>23113.47</v>
      </c>
      <c r="I192" s="39">
        <f>(H192/11)*12</f>
        <v>25214.694545454546</v>
      </c>
      <c r="J192" s="11">
        <v>5000</v>
      </c>
      <c r="K192" s="114"/>
      <c r="L192"/>
    </row>
    <row r="193" spans="1:12" s="4" customFormat="1">
      <c r="A193" s="37" t="s">
        <v>229</v>
      </c>
      <c r="B193" s="37"/>
      <c r="C193" s="37" t="s">
        <v>230</v>
      </c>
      <c r="D193" s="37"/>
      <c r="E193" s="37"/>
      <c r="F193" s="39">
        <v>166000</v>
      </c>
      <c r="G193" s="39">
        <v>0</v>
      </c>
      <c r="H193" s="39">
        <v>138280.94</v>
      </c>
      <c r="I193" s="39">
        <f>(H193/11)*12</f>
        <v>150851.93454545454</v>
      </c>
      <c r="J193" s="39">
        <v>155000</v>
      </c>
      <c r="K193" s="145"/>
    </row>
    <row r="194" spans="1:12" ht="15.75" thickBot="1">
      <c r="A194" s="19" t="s">
        <v>6</v>
      </c>
      <c r="B194" s="19"/>
      <c r="C194" s="19" t="s">
        <v>960</v>
      </c>
      <c r="D194" s="19"/>
      <c r="E194" s="19"/>
      <c r="F194" s="12">
        <f>SUM(F188:F193)</f>
        <v>234972.5</v>
      </c>
      <c r="G194" s="12">
        <f t="shared" ref="G194:J194" si="34">SUM(G188:G193)</f>
        <v>0</v>
      </c>
      <c r="H194" s="12">
        <f t="shared" si="34"/>
        <v>227710.85</v>
      </c>
      <c r="I194" s="12">
        <f t="shared" si="34"/>
        <v>249538.93768227272</v>
      </c>
      <c r="J194" s="12">
        <f t="shared" si="34"/>
        <v>236442.5</v>
      </c>
      <c r="K194" s="114"/>
      <c r="L194"/>
    </row>
    <row r="195" spans="1:12" ht="15.75" thickTop="1">
      <c r="A195" s="19"/>
      <c r="B195" s="19"/>
      <c r="C195" s="19"/>
      <c r="D195" s="19"/>
      <c r="E195" s="19"/>
      <c r="F195" s="13"/>
      <c r="G195" s="13"/>
      <c r="H195" s="13"/>
      <c r="I195" s="13"/>
      <c r="J195" s="13"/>
      <c r="K195" s="114"/>
      <c r="L195"/>
    </row>
    <row r="196" spans="1:12" s="3" customFormat="1" ht="15.75" thickBot="1">
      <c r="A196" s="9"/>
      <c r="B196" s="9"/>
      <c r="C196" s="9" t="s">
        <v>953</v>
      </c>
      <c r="D196" s="9"/>
      <c r="E196" s="9"/>
      <c r="F196" s="35">
        <f>F185+F194</f>
        <v>299972.5</v>
      </c>
      <c r="G196" s="35">
        <f t="shared" ref="G196:J196" si="35">G185+G194</f>
        <v>0</v>
      </c>
      <c r="H196" s="35">
        <f t="shared" si="35"/>
        <v>244206.14</v>
      </c>
      <c r="I196" s="35">
        <f t="shared" si="35"/>
        <v>287980.6976822727</v>
      </c>
      <c r="J196" s="35">
        <f t="shared" si="35"/>
        <v>281442.5</v>
      </c>
      <c r="K196" s="109"/>
    </row>
    <row r="197" spans="1:12" ht="15.75" thickTop="1">
      <c r="A197" s="19" t="s">
        <v>6</v>
      </c>
      <c r="B197" s="19"/>
      <c r="C197" s="19" t="s">
        <v>6</v>
      </c>
      <c r="D197" s="19"/>
      <c r="E197" s="19"/>
      <c r="F197" s="11" t="s">
        <v>6</v>
      </c>
      <c r="G197" s="11" t="s">
        <v>6</v>
      </c>
      <c r="H197" s="11" t="s">
        <v>6</v>
      </c>
      <c r="I197" s="30" t="s">
        <v>6</v>
      </c>
      <c r="J197" s="11" t="s">
        <v>6</v>
      </c>
      <c r="K197" s="143"/>
    </row>
    <row r="198" spans="1:12">
      <c r="A198" s="19" t="s">
        <v>6</v>
      </c>
      <c r="B198" s="19"/>
      <c r="C198" s="19" t="s">
        <v>199</v>
      </c>
      <c r="D198" s="19"/>
      <c r="E198" s="19"/>
      <c r="F198" s="11" t="s">
        <v>6</v>
      </c>
      <c r="G198" s="11" t="s">
        <v>6</v>
      </c>
      <c r="H198" s="11" t="s">
        <v>6</v>
      </c>
      <c r="I198" s="30" t="s">
        <v>6</v>
      </c>
      <c r="J198" s="30" t="s">
        <v>6</v>
      </c>
    </row>
    <row r="199" spans="1:12">
      <c r="A199" s="37" t="s">
        <v>231</v>
      </c>
      <c r="B199" s="37"/>
      <c r="C199" s="37" t="s">
        <v>232</v>
      </c>
      <c r="D199" s="37"/>
      <c r="E199" s="37"/>
      <c r="F199" s="39">
        <v>500</v>
      </c>
      <c r="G199" s="39">
        <v>0</v>
      </c>
      <c r="H199" s="39">
        <v>0</v>
      </c>
      <c r="I199" s="47">
        <v>0</v>
      </c>
      <c r="J199" s="39">
        <v>0</v>
      </c>
      <c r="K199" s="145"/>
      <c r="L199"/>
    </row>
    <row r="200" spans="1:12">
      <c r="A200" s="19" t="s">
        <v>233</v>
      </c>
      <c r="B200" s="19"/>
      <c r="C200" s="19" t="s">
        <v>234</v>
      </c>
      <c r="D200" s="19"/>
      <c r="E200" s="19"/>
      <c r="F200" s="11">
        <v>8000</v>
      </c>
      <c r="G200" s="11">
        <v>0</v>
      </c>
      <c r="H200" s="11">
        <v>2712</v>
      </c>
      <c r="I200" s="39">
        <f>(H200/11)*12</f>
        <v>2958.5454545454545</v>
      </c>
      <c r="J200" s="11">
        <v>8000</v>
      </c>
      <c r="K200" s="114"/>
      <c r="L200"/>
    </row>
    <row r="201" spans="1:12">
      <c r="A201" s="19" t="s">
        <v>235</v>
      </c>
      <c r="B201" s="19"/>
      <c r="C201" s="19" t="s">
        <v>201</v>
      </c>
      <c r="D201" s="19"/>
      <c r="E201" s="19"/>
      <c r="F201" s="11">
        <v>2500</v>
      </c>
      <c r="G201" s="11">
        <v>0</v>
      </c>
      <c r="H201" s="11">
        <v>3028.82</v>
      </c>
      <c r="I201" s="39">
        <f>(H201/11)*12</f>
        <v>3304.167272727273</v>
      </c>
      <c r="J201" s="11">
        <v>1600</v>
      </c>
      <c r="K201" s="114" t="s">
        <v>912</v>
      </c>
      <c r="L201"/>
    </row>
    <row r="202" spans="1:12" s="3" customFormat="1" ht="15.75" thickBot="1">
      <c r="A202" s="9"/>
      <c r="B202" s="9"/>
      <c r="C202" s="9" t="s">
        <v>954</v>
      </c>
      <c r="D202" s="9"/>
      <c r="E202" s="9"/>
      <c r="F202" s="35">
        <f>SUM(F199:F201)</f>
        <v>11000</v>
      </c>
      <c r="G202" s="35">
        <f t="shared" ref="G202:J202" si="36">SUM(G199:G201)</f>
        <v>0</v>
      </c>
      <c r="H202" s="35">
        <f t="shared" si="36"/>
        <v>5740.82</v>
      </c>
      <c r="I202" s="35">
        <f t="shared" si="36"/>
        <v>6262.7127272727275</v>
      </c>
      <c r="J202" s="35">
        <f t="shared" si="36"/>
        <v>9600</v>
      </c>
      <c r="K202" s="109"/>
    </row>
    <row r="203" spans="1:12" ht="15.75" thickTop="1">
      <c r="A203" s="19"/>
      <c r="B203" s="19"/>
      <c r="C203" s="19"/>
      <c r="D203" s="19"/>
      <c r="E203" s="19"/>
      <c r="F203" s="20"/>
      <c r="G203" s="20"/>
      <c r="H203" s="20"/>
      <c r="J203" s="20"/>
      <c r="K203" s="143"/>
    </row>
    <row r="204" spans="1:12">
      <c r="A204" s="19" t="s">
        <v>6</v>
      </c>
      <c r="B204" s="19"/>
      <c r="C204" s="19" t="s">
        <v>202</v>
      </c>
      <c r="D204" s="19"/>
      <c r="E204" s="19"/>
      <c r="F204" s="11" t="s">
        <v>6</v>
      </c>
      <c r="G204" s="11" t="s">
        <v>6</v>
      </c>
      <c r="H204" s="11" t="s">
        <v>6</v>
      </c>
      <c r="I204" s="30" t="s">
        <v>6</v>
      </c>
      <c r="J204" s="11" t="s">
        <v>6</v>
      </c>
      <c r="K204" s="114"/>
      <c r="L204"/>
    </row>
    <row r="205" spans="1:12">
      <c r="A205" s="37" t="s">
        <v>236</v>
      </c>
      <c r="B205" s="37"/>
      <c r="C205" s="37" t="s">
        <v>237</v>
      </c>
      <c r="D205" s="37"/>
      <c r="E205" s="37"/>
      <c r="F205" s="39">
        <v>5000</v>
      </c>
      <c r="G205" s="39">
        <v>0</v>
      </c>
      <c r="H205" s="39">
        <v>5288.45</v>
      </c>
      <c r="I205" s="39">
        <f>(H205/11)*12</f>
        <v>5769.2181818181816</v>
      </c>
      <c r="J205" s="39">
        <v>6500</v>
      </c>
      <c r="K205" s="114"/>
      <c r="L205"/>
    </row>
    <row r="206" spans="1:12" s="4" customFormat="1">
      <c r="A206" s="37" t="s">
        <v>238</v>
      </c>
      <c r="B206" s="37"/>
      <c r="C206" s="37" t="s">
        <v>239</v>
      </c>
      <c r="D206" s="37"/>
      <c r="E206" s="37"/>
      <c r="F206" s="39">
        <v>8000</v>
      </c>
      <c r="G206" s="39">
        <v>0</v>
      </c>
      <c r="H206" s="39">
        <v>6778.18</v>
      </c>
      <c r="I206" s="39">
        <f t="shared" ref="I206:I227" si="37">(H206/11)*12</f>
        <v>7394.3781818181824</v>
      </c>
      <c r="J206" s="39">
        <v>9000</v>
      </c>
      <c r="K206" s="145"/>
    </row>
    <row r="207" spans="1:12">
      <c r="A207" s="19" t="s">
        <v>240</v>
      </c>
      <c r="B207" s="19" t="s">
        <v>6</v>
      </c>
      <c r="C207" s="19" t="s">
        <v>241</v>
      </c>
      <c r="D207" s="19"/>
      <c r="E207" s="19"/>
      <c r="F207" s="11">
        <v>2500</v>
      </c>
      <c r="G207" s="11">
        <v>0</v>
      </c>
      <c r="H207" s="11">
        <v>3345.15</v>
      </c>
      <c r="I207" s="39">
        <f t="shared" si="37"/>
        <v>3649.2545454545457</v>
      </c>
      <c r="J207" s="11">
        <v>3500</v>
      </c>
      <c r="K207" s="114"/>
      <c r="L207"/>
    </row>
    <row r="208" spans="1:12">
      <c r="A208" s="37" t="s">
        <v>242</v>
      </c>
      <c r="B208" s="37"/>
      <c r="C208" s="37" t="s">
        <v>243</v>
      </c>
      <c r="D208" s="37"/>
      <c r="E208" s="37"/>
      <c r="F208" s="39">
        <v>500</v>
      </c>
      <c r="G208" s="39">
        <v>0</v>
      </c>
      <c r="H208" s="39">
        <v>640</v>
      </c>
      <c r="I208" s="39">
        <f t="shared" si="37"/>
        <v>698.18181818181813</v>
      </c>
      <c r="J208" s="39">
        <v>580</v>
      </c>
      <c r="K208" s="114"/>
      <c r="L208"/>
    </row>
    <row r="209" spans="1:12">
      <c r="A209" s="19" t="s">
        <v>244</v>
      </c>
      <c r="B209" s="19"/>
      <c r="C209" s="19" t="s">
        <v>245</v>
      </c>
      <c r="D209" s="19"/>
      <c r="E209" s="19"/>
      <c r="F209" s="11">
        <v>10000</v>
      </c>
      <c r="G209" s="11">
        <v>0</v>
      </c>
      <c r="H209" s="11">
        <v>22074.04</v>
      </c>
      <c r="I209" s="39">
        <f t="shared" si="37"/>
        <v>24080.770909090908</v>
      </c>
      <c r="J209" s="11">
        <v>20000</v>
      </c>
      <c r="K209" s="114"/>
      <c r="L209"/>
    </row>
    <row r="210" spans="1:12" s="4" customFormat="1">
      <c r="A210" s="37" t="s">
        <v>246</v>
      </c>
      <c r="B210" s="37"/>
      <c r="C210" s="37" t="s">
        <v>247</v>
      </c>
      <c r="D210" s="37"/>
      <c r="E210" s="37"/>
      <c r="F210" s="39">
        <v>18465</v>
      </c>
      <c r="G210" s="39">
        <v>0</v>
      </c>
      <c r="H210" s="39">
        <v>15732.5</v>
      </c>
      <c r="I210" s="39">
        <f t="shared" si="37"/>
        <v>17162.727272727272</v>
      </c>
      <c r="J210" s="39">
        <v>17500</v>
      </c>
      <c r="K210" s="145"/>
    </row>
    <row r="211" spans="1:12" s="4" customFormat="1">
      <c r="A211" s="37" t="s">
        <v>248</v>
      </c>
      <c r="B211" s="37"/>
      <c r="C211" s="37" t="s">
        <v>249</v>
      </c>
      <c r="D211" s="37"/>
      <c r="E211" s="37"/>
      <c r="F211" s="39">
        <v>42532</v>
      </c>
      <c r="G211" s="39">
        <v>0</v>
      </c>
      <c r="H211" s="39">
        <v>85088.58</v>
      </c>
      <c r="I211" s="39">
        <f t="shared" si="37"/>
        <v>92823.905454545456</v>
      </c>
      <c r="J211" s="39">
        <v>85000</v>
      </c>
      <c r="K211" s="145"/>
    </row>
    <row r="212" spans="1:12" s="4" customFormat="1">
      <c r="A212" s="37" t="s">
        <v>251</v>
      </c>
      <c r="B212" s="37"/>
      <c r="C212" s="37" t="s">
        <v>252</v>
      </c>
      <c r="D212" s="37"/>
      <c r="E212" s="37"/>
      <c r="F212" s="39">
        <v>6500</v>
      </c>
      <c r="G212" s="39">
        <v>0</v>
      </c>
      <c r="H212" s="39">
        <v>6021.55</v>
      </c>
      <c r="I212" s="39">
        <f t="shared" si="37"/>
        <v>6568.9636363636364</v>
      </c>
      <c r="J212" s="39">
        <v>6000</v>
      </c>
      <c r="K212" s="145"/>
    </row>
    <row r="213" spans="1:12" s="4" customFormat="1">
      <c r="A213" s="37" t="s">
        <v>253</v>
      </c>
      <c r="B213" s="37"/>
      <c r="C213" s="37" t="s">
        <v>254</v>
      </c>
      <c r="D213" s="37"/>
      <c r="E213" s="37"/>
      <c r="F213" s="39">
        <v>6500</v>
      </c>
      <c r="G213" s="39">
        <v>0</v>
      </c>
      <c r="H213" s="39">
        <v>6407.19</v>
      </c>
      <c r="I213" s="39">
        <f t="shared" si="37"/>
        <v>6989.6618181818176</v>
      </c>
      <c r="J213" s="39">
        <v>5500</v>
      </c>
      <c r="K213" s="145"/>
      <c r="L213" s="153"/>
    </row>
    <row r="214" spans="1:12" s="4" customFormat="1">
      <c r="A214" s="37" t="s">
        <v>255</v>
      </c>
      <c r="B214" s="37"/>
      <c r="C214" s="37" t="s">
        <v>256</v>
      </c>
      <c r="D214" s="37"/>
      <c r="E214" s="37"/>
      <c r="F214" s="39">
        <v>11000</v>
      </c>
      <c r="G214" s="39">
        <v>0</v>
      </c>
      <c r="H214" s="39">
        <v>12495.47</v>
      </c>
      <c r="I214" s="39">
        <f t="shared" si="37"/>
        <v>13631.421818181818</v>
      </c>
      <c r="J214" s="39">
        <v>8000</v>
      </c>
      <c r="K214" s="145"/>
    </row>
    <row r="215" spans="1:12" s="4" customFormat="1">
      <c r="A215" s="37" t="s">
        <v>257</v>
      </c>
      <c r="B215" s="37"/>
      <c r="C215" s="37" t="s">
        <v>258</v>
      </c>
      <c r="D215" s="37"/>
      <c r="E215" s="37"/>
      <c r="F215" s="39">
        <v>2000</v>
      </c>
      <c r="G215" s="39">
        <v>0</v>
      </c>
      <c r="H215" s="39">
        <v>1414.96</v>
      </c>
      <c r="I215" s="39">
        <f t="shared" si="37"/>
        <v>1543.5927272727272</v>
      </c>
      <c r="J215" s="39">
        <v>800</v>
      </c>
      <c r="K215" s="145"/>
    </row>
    <row r="216" spans="1:12" s="4" customFormat="1">
      <c r="A216" s="37" t="s">
        <v>261</v>
      </c>
      <c r="B216" s="37"/>
      <c r="C216" s="37" t="s">
        <v>917</v>
      </c>
      <c r="D216" s="37"/>
      <c r="E216" s="37"/>
      <c r="F216" s="39">
        <v>0</v>
      </c>
      <c r="G216" s="39">
        <v>0</v>
      </c>
      <c r="H216" s="39">
        <v>6403.47</v>
      </c>
      <c r="I216" s="39">
        <f t="shared" si="37"/>
        <v>6985.6036363636358</v>
      </c>
      <c r="J216" s="39">
        <v>5000</v>
      </c>
      <c r="K216" s="145" t="s">
        <v>918</v>
      </c>
    </row>
    <row r="217" spans="1:12">
      <c r="A217" s="19" t="s">
        <v>262</v>
      </c>
      <c r="B217" s="19"/>
      <c r="C217" s="19" t="s">
        <v>916</v>
      </c>
      <c r="D217" s="19"/>
      <c r="E217" s="19"/>
      <c r="F217" s="11">
        <v>8000</v>
      </c>
      <c r="G217" s="11">
        <v>0</v>
      </c>
      <c r="H217" s="11">
        <v>7933.95</v>
      </c>
      <c r="I217" s="39">
        <f t="shared" si="37"/>
        <v>8655.2181818181816</v>
      </c>
      <c r="J217" s="11">
        <v>7500</v>
      </c>
      <c r="K217" s="114"/>
      <c r="L217"/>
    </row>
    <row r="218" spans="1:12" s="157" customFormat="1">
      <c r="A218" s="156" t="s">
        <v>263</v>
      </c>
      <c r="B218" s="156"/>
      <c r="C218" s="156" t="s">
        <v>923</v>
      </c>
      <c r="D218" s="156"/>
      <c r="E218" s="156"/>
      <c r="F218" s="47">
        <v>3800</v>
      </c>
      <c r="G218" s="47">
        <v>0</v>
      </c>
      <c r="H218" s="47">
        <v>2590.35</v>
      </c>
      <c r="I218" s="39">
        <f t="shared" si="37"/>
        <v>2825.8363636363633</v>
      </c>
      <c r="J218" s="47">
        <v>2500</v>
      </c>
      <c r="K218" s="145"/>
    </row>
    <row r="219" spans="1:12" s="157" customFormat="1">
      <c r="A219" s="156" t="s">
        <v>919</v>
      </c>
      <c r="B219" s="156"/>
      <c r="C219" s="156" t="s">
        <v>920</v>
      </c>
      <c r="D219" s="156"/>
      <c r="E219" s="156"/>
      <c r="F219" s="47">
        <v>0</v>
      </c>
      <c r="G219" s="47">
        <v>0</v>
      </c>
      <c r="H219" s="47">
        <v>7586.16</v>
      </c>
      <c r="I219" s="39">
        <f t="shared" si="37"/>
        <v>8275.8109090909093</v>
      </c>
      <c r="J219" s="47">
        <v>11000</v>
      </c>
      <c r="K219" s="145"/>
    </row>
    <row r="220" spans="1:12" s="157" customFormat="1">
      <c r="A220" s="156" t="s">
        <v>259</v>
      </c>
      <c r="B220" s="156"/>
      <c r="C220" s="156" t="s">
        <v>260</v>
      </c>
      <c r="D220" s="156"/>
      <c r="E220" s="156"/>
      <c r="F220" s="47">
        <v>2000</v>
      </c>
      <c r="G220" s="47">
        <v>0</v>
      </c>
      <c r="H220" s="47">
        <v>1824.63</v>
      </c>
      <c r="I220" s="39">
        <f t="shared" si="37"/>
        <v>1990.5054545454545</v>
      </c>
      <c r="J220" s="47">
        <v>2000</v>
      </c>
      <c r="K220" s="145"/>
    </row>
    <row r="221" spans="1:12" s="157" customFormat="1">
      <c r="A221" s="156" t="s">
        <v>264</v>
      </c>
      <c r="B221" s="156"/>
      <c r="C221" s="156" t="s">
        <v>265</v>
      </c>
      <c r="D221" s="156"/>
      <c r="E221" s="156"/>
      <c r="F221" s="47">
        <v>2000</v>
      </c>
      <c r="G221" s="47">
        <v>0</v>
      </c>
      <c r="H221" s="47">
        <v>2697.55</v>
      </c>
      <c r="I221" s="39">
        <f t="shared" si="37"/>
        <v>2942.7818181818184</v>
      </c>
      <c r="J221" s="47">
        <v>2000</v>
      </c>
      <c r="K221" s="145"/>
    </row>
    <row r="222" spans="1:12" s="157" customFormat="1">
      <c r="A222" s="156" t="s">
        <v>266</v>
      </c>
      <c r="B222" s="156"/>
      <c r="C222" s="156" t="s">
        <v>267</v>
      </c>
      <c r="D222" s="156"/>
      <c r="E222" s="156"/>
      <c r="F222" s="47">
        <v>1500</v>
      </c>
      <c r="G222" s="47">
        <v>0</v>
      </c>
      <c r="H222" s="47">
        <v>1411.75</v>
      </c>
      <c r="I222" s="39">
        <f t="shared" si="37"/>
        <v>1540.090909090909</v>
      </c>
      <c r="J222" s="47">
        <v>1000</v>
      </c>
      <c r="K222" s="145"/>
    </row>
    <row r="223" spans="1:12" s="157" customFormat="1">
      <c r="A223" s="156" t="s">
        <v>921</v>
      </c>
      <c r="B223" s="156"/>
      <c r="C223" s="156" t="s">
        <v>922</v>
      </c>
      <c r="D223" s="156"/>
      <c r="E223" s="156"/>
      <c r="F223" s="47">
        <v>0</v>
      </c>
      <c r="G223" s="47">
        <v>0</v>
      </c>
      <c r="H223" s="47">
        <v>10745.64</v>
      </c>
      <c r="I223" s="39">
        <f t="shared" si="37"/>
        <v>11722.516363636363</v>
      </c>
      <c r="J223" s="47">
        <v>3000</v>
      </c>
      <c r="K223" s="145"/>
    </row>
    <row r="224" spans="1:12" s="4" customFormat="1">
      <c r="A224" s="37" t="s">
        <v>1051</v>
      </c>
      <c r="B224" s="37"/>
      <c r="C224" s="37" t="s">
        <v>250</v>
      </c>
      <c r="D224" s="37"/>
      <c r="E224" s="37"/>
      <c r="F224" s="39">
        <v>8000</v>
      </c>
      <c r="G224" s="39">
        <v>0</v>
      </c>
      <c r="H224" s="39">
        <v>8235.1299999999992</v>
      </c>
      <c r="I224" s="39">
        <f t="shared" si="37"/>
        <v>8983.7781818181811</v>
      </c>
      <c r="J224" s="39">
        <v>2400</v>
      </c>
      <c r="K224" s="145"/>
    </row>
    <row r="225" spans="1:12" s="4" customFormat="1">
      <c r="A225" s="37" t="s">
        <v>268</v>
      </c>
      <c r="B225" s="37"/>
      <c r="C225" s="37" t="s">
        <v>269</v>
      </c>
      <c r="D225" s="37"/>
      <c r="E225" s="37"/>
      <c r="F225" s="39">
        <v>6000</v>
      </c>
      <c r="G225" s="39">
        <v>0</v>
      </c>
      <c r="H225" s="39">
        <v>7235.63</v>
      </c>
      <c r="I225" s="39">
        <f t="shared" si="37"/>
        <v>7893.4145454545451</v>
      </c>
      <c r="J225" s="39">
        <v>8100</v>
      </c>
      <c r="K225" s="145"/>
    </row>
    <row r="226" spans="1:12">
      <c r="A226" s="19" t="s">
        <v>270</v>
      </c>
      <c r="B226" s="19"/>
      <c r="C226" s="19" t="s">
        <v>271</v>
      </c>
      <c r="D226" s="19"/>
      <c r="E226" s="19"/>
      <c r="F226" s="11">
        <v>30000</v>
      </c>
      <c r="G226" s="11">
        <v>0</v>
      </c>
      <c r="H226" s="11">
        <v>29359</v>
      </c>
      <c r="I226" s="39">
        <f t="shared" si="37"/>
        <v>32028</v>
      </c>
      <c r="J226" s="11">
        <v>30000</v>
      </c>
      <c r="K226" s="114"/>
      <c r="L226"/>
    </row>
    <row r="227" spans="1:12">
      <c r="A227" s="19" t="s">
        <v>272</v>
      </c>
      <c r="B227" s="19"/>
      <c r="C227" s="19" t="s">
        <v>273</v>
      </c>
      <c r="D227" s="19"/>
      <c r="E227" s="19"/>
      <c r="F227" s="11">
        <v>1500</v>
      </c>
      <c r="G227" s="11">
        <v>0</v>
      </c>
      <c r="H227" s="11">
        <v>990</v>
      </c>
      <c r="I227" s="39">
        <f t="shared" si="37"/>
        <v>1080</v>
      </c>
      <c r="J227" s="11">
        <v>1500</v>
      </c>
      <c r="K227" s="114" t="s">
        <v>6</v>
      </c>
      <c r="L227"/>
    </row>
    <row r="228" spans="1:12" s="3" customFormat="1" ht="15.75" thickBot="1">
      <c r="A228" s="9"/>
      <c r="B228" s="9"/>
      <c r="C228" s="9" t="s">
        <v>955</v>
      </c>
      <c r="D228" s="9"/>
      <c r="E228" s="9"/>
      <c r="F228" s="35">
        <f>SUM(F205:F227)</f>
        <v>175797</v>
      </c>
      <c r="G228" s="35">
        <f>SUM(G205:G227)</f>
        <v>0</v>
      </c>
      <c r="H228" s="35">
        <f>SUM(H205:H227)</f>
        <v>252299.33000000002</v>
      </c>
      <c r="I228" s="35">
        <f>SUM(I205:I227)</f>
        <v>275235.63272727269</v>
      </c>
      <c r="J228" s="35">
        <f>SUM(J205:J227)</f>
        <v>238380</v>
      </c>
      <c r="K228" s="109"/>
    </row>
    <row r="229" spans="1:12" ht="15.75" thickTop="1">
      <c r="A229" s="19"/>
      <c r="B229" s="19"/>
      <c r="C229" s="19"/>
      <c r="D229" s="19"/>
      <c r="E229" s="19"/>
      <c r="F229" s="20"/>
      <c r="G229" s="20"/>
      <c r="H229" s="20"/>
      <c r="J229" s="20"/>
      <c r="K229" s="143"/>
    </row>
    <row r="230" spans="1:12">
      <c r="A230" s="19" t="s">
        <v>6</v>
      </c>
      <c r="B230" s="19"/>
      <c r="C230" s="19" t="s">
        <v>204</v>
      </c>
      <c r="D230" s="19"/>
      <c r="E230" s="19"/>
      <c r="F230" s="11" t="s">
        <v>6</v>
      </c>
      <c r="G230" s="11" t="s">
        <v>6</v>
      </c>
      <c r="H230" s="11" t="s">
        <v>6</v>
      </c>
      <c r="I230" s="30" t="s">
        <v>6</v>
      </c>
      <c r="J230" s="11" t="s">
        <v>6</v>
      </c>
      <c r="K230" s="143"/>
    </row>
    <row r="231" spans="1:12">
      <c r="A231" s="19" t="s">
        <v>274</v>
      </c>
      <c r="B231" s="19"/>
      <c r="C231" s="19" t="s">
        <v>275</v>
      </c>
      <c r="D231" s="19"/>
      <c r="E231" s="19"/>
      <c r="F231" s="11">
        <v>5000</v>
      </c>
      <c r="G231" s="11">
        <v>0</v>
      </c>
      <c r="H231" s="11">
        <v>6645.24</v>
      </c>
      <c r="I231" s="39">
        <f t="shared" ref="I231:I233" si="38">(H231/11)*12</f>
        <v>7249.3527272727279</v>
      </c>
      <c r="J231" s="11">
        <v>5500</v>
      </c>
      <c r="K231" s="114"/>
      <c r="L231"/>
    </row>
    <row r="232" spans="1:12">
      <c r="A232" s="19" t="s">
        <v>276</v>
      </c>
      <c r="B232" s="19"/>
      <c r="C232" s="19" t="s">
        <v>277</v>
      </c>
      <c r="D232" s="19"/>
      <c r="E232" s="19"/>
      <c r="F232" s="11">
        <v>3000</v>
      </c>
      <c r="G232" s="11">
        <v>0</v>
      </c>
      <c r="H232" s="11">
        <v>2037.78</v>
      </c>
      <c r="I232" s="39">
        <f t="shared" si="38"/>
        <v>2223.0327272727272</v>
      </c>
      <c r="J232" s="11">
        <v>3000</v>
      </c>
      <c r="K232" s="114"/>
      <c r="L232"/>
    </row>
    <row r="233" spans="1:12">
      <c r="A233" s="19" t="s">
        <v>278</v>
      </c>
      <c r="B233" s="19"/>
      <c r="C233" s="19" t="s">
        <v>279</v>
      </c>
      <c r="D233" s="19"/>
      <c r="E233" s="19"/>
      <c r="F233" s="11">
        <v>1000</v>
      </c>
      <c r="G233" s="11">
        <v>0</v>
      </c>
      <c r="H233" s="11">
        <v>106.06</v>
      </c>
      <c r="I233" s="39">
        <f t="shared" si="38"/>
        <v>115.7018181818182</v>
      </c>
      <c r="J233" s="11">
        <v>100</v>
      </c>
      <c r="K233" s="114"/>
      <c r="L233"/>
    </row>
    <row r="234" spans="1:12" s="3" customFormat="1" ht="15.75" thickBot="1">
      <c r="A234" s="9"/>
      <c r="B234" s="9"/>
      <c r="C234" s="9" t="s">
        <v>956</v>
      </c>
      <c r="D234" s="9"/>
      <c r="E234" s="9"/>
      <c r="F234" s="35">
        <f>SUM(F231:F233)</f>
        <v>9000</v>
      </c>
      <c r="G234" s="35">
        <f t="shared" ref="G234:J234" si="39">SUM(G231:G233)</f>
        <v>0</v>
      </c>
      <c r="H234" s="35">
        <f t="shared" si="39"/>
        <v>8789.08</v>
      </c>
      <c r="I234" s="35">
        <f t="shared" si="39"/>
        <v>9588.0872727272745</v>
      </c>
      <c r="J234" s="35">
        <f t="shared" si="39"/>
        <v>8600</v>
      </c>
      <c r="K234" s="109"/>
    </row>
    <row r="235" spans="1:12" ht="15.75" thickTop="1">
      <c r="A235" s="19"/>
      <c r="B235" s="19"/>
      <c r="C235" s="19"/>
      <c r="D235" s="19"/>
      <c r="E235" s="19"/>
      <c r="F235" s="20"/>
      <c r="G235" s="20"/>
      <c r="H235" s="20"/>
      <c r="J235" s="20"/>
      <c r="K235" s="143"/>
    </row>
    <row r="236" spans="1:12">
      <c r="A236" s="19" t="s">
        <v>6</v>
      </c>
      <c r="B236" s="19"/>
      <c r="C236" s="19" t="s">
        <v>217</v>
      </c>
      <c r="D236" s="19"/>
      <c r="E236" s="19"/>
      <c r="F236" s="11" t="s">
        <v>6</v>
      </c>
      <c r="G236" s="11" t="s">
        <v>6</v>
      </c>
      <c r="H236" s="11" t="s">
        <v>6</v>
      </c>
      <c r="I236" s="30" t="s">
        <v>6</v>
      </c>
      <c r="J236" s="11" t="s">
        <v>6</v>
      </c>
      <c r="K236" s="143"/>
    </row>
    <row r="237" spans="1:12" s="4" customFormat="1">
      <c r="A237" s="37" t="s">
        <v>280</v>
      </c>
      <c r="B237" s="37"/>
      <c r="C237" s="37" t="s">
        <v>281</v>
      </c>
      <c r="D237" s="37"/>
      <c r="E237" s="37"/>
      <c r="F237" s="39">
        <v>1000</v>
      </c>
      <c r="G237" s="39">
        <v>0</v>
      </c>
      <c r="H237" s="39">
        <v>1369.42</v>
      </c>
      <c r="I237" s="39">
        <f t="shared" ref="I237" si="40">(H237/11)*12</f>
        <v>1493.9127272727274</v>
      </c>
      <c r="J237" s="39">
        <v>1500</v>
      </c>
      <c r="K237" s="145"/>
    </row>
    <row r="238" spans="1:12" s="3" customFormat="1" ht="15.75" thickBot="1">
      <c r="A238" s="9"/>
      <c r="B238" s="9"/>
      <c r="C238" s="9" t="s">
        <v>961</v>
      </c>
      <c r="D238" s="9"/>
      <c r="E238" s="9"/>
      <c r="F238" s="35">
        <f>SUM(F237)</f>
        <v>1000</v>
      </c>
      <c r="G238" s="35">
        <f t="shared" ref="G238:J238" si="41">SUM(G237)</f>
        <v>0</v>
      </c>
      <c r="H238" s="35">
        <f t="shared" si="41"/>
        <v>1369.42</v>
      </c>
      <c r="I238" s="35">
        <f t="shared" si="41"/>
        <v>1493.9127272727274</v>
      </c>
      <c r="J238" s="35">
        <f t="shared" si="41"/>
        <v>1500</v>
      </c>
      <c r="K238" s="109"/>
    </row>
    <row r="239" spans="1:12" ht="15.75" thickTop="1">
      <c r="A239" s="19"/>
      <c r="B239" s="19"/>
      <c r="C239" s="19"/>
      <c r="D239" s="19"/>
      <c r="E239" s="19"/>
      <c r="F239" s="20"/>
      <c r="G239" s="20"/>
      <c r="H239" s="20"/>
      <c r="J239"/>
      <c r="K239" s="1"/>
    </row>
    <row r="240" spans="1:12">
      <c r="A240" s="19"/>
      <c r="B240" s="19"/>
      <c r="C240" s="19" t="s">
        <v>287</v>
      </c>
      <c r="D240" s="19"/>
      <c r="E240" s="19"/>
      <c r="F240" s="20"/>
      <c r="G240" s="20"/>
      <c r="H240" s="20"/>
      <c r="J240"/>
      <c r="K240" s="1"/>
    </row>
    <row r="241" spans="1:12">
      <c r="A241" s="19" t="s">
        <v>1057</v>
      </c>
      <c r="B241" s="19"/>
      <c r="C241" s="19" t="s">
        <v>324</v>
      </c>
      <c r="D241" s="19"/>
      <c r="E241" s="19"/>
      <c r="F241" s="11">
        <v>2000</v>
      </c>
      <c r="G241" s="11">
        <v>0</v>
      </c>
      <c r="H241" s="11">
        <v>2000</v>
      </c>
      <c r="I241" s="30">
        <v>2000</v>
      </c>
      <c r="J241" s="14">
        <v>2000</v>
      </c>
      <c r="K241" s="114" t="s">
        <v>811</v>
      </c>
      <c r="L241"/>
    </row>
    <row r="242" spans="1:12" s="3" customFormat="1" ht="15.75" thickBot="1">
      <c r="A242" s="9"/>
      <c r="B242" s="9"/>
      <c r="C242" s="9" t="s">
        <v>962</v>
      </c>
      <c r="D242" s="9"/>
      <c r="E242" s="9"/>
      <c r="F242" s="35">
        <f>SUM(F241)</f>
        <v>2000</v>
      </c>
      <c r="G242" s="35">
        <f t="shared" ref="G242:J242" si="42">SUM(G241)</f>
        <v>0</v>
      </c>
      <c r="H242" s="35">
        <f t="shared" si="42"/>
        <v>2000</v>
      </c>
      <c r="I242" s="35">
        <f t="shared" si="42"/>
        <v>2000</v>
      </c>
      <c r="J242" s="35">
        <f t="shared" si="42"/>
        <v>2000</v>
      </c>
      <c r="K242" s="109"/>
    </row>
    <row r="243" spans="1:12" ht="16.5" thickTop="1" thickBot="1">
      <c r="A243" s="19"/>
      <c r="B243" s="19"/>
      <c r="C243" s="19"/>
      <c r="D243" s="19"/>
      <c r="E243" s="19"/>
      <c r="F243" s="12"/>
      <c r="G243" s="12"/>
      <c r="H243" s="12"/>
      <c r="I243" s="12"/>
      <c r="J243" s="12"/>
      <c r="K243" s="114"/>
      <c r="L243"/>
    </row>
    <row r="244" spans="1:12" ht="15.75" thickTop="1">
      <c r="A244" s="19"/>
      <c r="B244" s="19"/>
      <c r="C244" s="19" t="s">
        <v>30</v>
      </c>
      <c r="D244" s="19"/>
      <c r="E244" s="19"/>
      <c r="F244" s="20"/>
      <c r="G244" s="20"/>
      <c r="H244" s="20"/>
      <c r="J244" s="23"/>
      <c r="K244" s="114"/>
      <c r="L244"/>
    </row>
    <row r="245" spans="1:12" s="4" customFormat="1">
      <c r="A245" s="37" t="s">
        <v>840</v>
      </c>
      <c r="B245" s="37"/>
      <c r="C245" s="37" t="s">
        <v>975</v>
      </c>
      <c r="D245" s="37"/>
      <c r="E245" s="37"/>
      <c r="F245" s="39">
        <v>0</v>
      </c>
      <c r="G245" s="39">
        <v>0</v>
      </c>
      <c r="H245" s="39">
        <v>0</v>
      </c>
      <c r="I245" s="47">
        <v>0</v>
      </c>
      <c r="J245" s="39">
        <v>23878</v>
      </c>
      <c r="K245" s="145"/>
    </row>
    <row r="246" spans="1:12" s="3" customFormat="1" ht="15.75" thickBot="1">
      <c r="A246" s="9"/>
      <c r="B246" s="9"/>
      <c r="C246" s="9" t="s">
        <v>974</v>
      </c>
      <c r="D246" s="9"/>
      <c r="E246" s="9"/>
      <c r="F246" s="35">
        <f>SUM(F245)</f>
        <v>0</v>
      </c>
      <c r="G246" s="35">
        <f t="shared" ref="G246:J246" si="43">SUM(G245)</f>
        <v>0</v>
      </c>
      <c r="H246" s="35">
        <f t="shared" si="43"/>
        <v>0</v>
      </c>
      <c r="I246" s="35">
        <f t="shared" si="43"/>
        <v>0</v>
      </c>
      <c r="J246" s="35">
        <f t="shared" si="43"/>
        <v>23878</v>
      </c>
      <c r="K246" s="109"/>
    </row>
    <row r="247" spans="1:12" ht="15.75" thickTop="1">
      <c r="A247" s="19"/>
      <c r="B247" s="19"/>
      <c r="C247" s="19"/>
      <c r="D247" s="19"/>
      <c r="E247" s="19"/>
      <c r="F247" s="20"/>
      <c r="G247" s="20"/>
      <c r="H247" s="20"/>
      <c r="J247" s="23"/>
      <c r="K247" s="114"/>
      <c r="L247"/>
    </row>
    <row r="248" spans="1:12" ht="15.75" thickBot="1">
      <c r="A248" s="19"/>
      <c r="B248" s="19"/>
      <c r="C248" s="9" t="s">
        <v>963</v>
      </c>
      <c r="D248" s="19"/>
      <c r="E248" s="19"/>
      <c r="F248" s="34">
        <f>F196+F202+F228+F234+F238+F242+F246</f>
        <v>498769.5</v>
      </c>
      <c r="G248" s="34">
        <f>G196+G202+G228+G234+G238+G242+G246</f>
        <v>0</v>
      </c>
      <c r="H248" s="34">
        <f>H196+H202+H228+H234+H238+H242+H246</f>
        <v>514404.79000000004</v>
      </c>
      <c r="I248" s="34">
        <f>I196+I202+I228+I234+I238+I242+I246</f>
        <v>582561.0431368181</v>
      </c>
      <c r="J248" s="34">
        <f>J196+J202+J228+J234+J238+J242+J246</f>
        <v>565400.5</v>
      </c>
      <c r="K248" s="114"/>
      <c r="L248"/>
    </row>
    <row r="249" spans="1:12" ht="15.75" thickTop="1">
      <c r="A249" s="19"/>
      <c r="B249" s="19"/>
      <c r="C249" s="19"/>
      <c r="D249" s="19"/>
      <c r="E249" s="19"/>
      <c r="F249" s="20"/>
      <c r="G249" s="20"/>
      <c r="H249" s="20"/>
      <c r="J249" s="20"/>
      <c r="K249" s="143"/>
    </row>
    <row r="250" spans="1:12">
      <c r="A250" s="19"/>
      <c r="B250" s="19"/>
      <c r="C250" s="19"/>
      <c r="D250" s="19"/>
      <c r="E250" s="19"/>
      <c r="F250" s="20"/>
      <c r="G250" s="20"/>
      <c r="H250" s="20"/>
      <c r="J250" s="20"/>
      <c r="K250" s="143"/>
    </row>
    <row r="251" spans="1:12">
      <c r="A251" s="250" t="s">
        <v>804</v>
      </c>
      <c r="B251" s="250"/>
      <c r="C251" s="250"/>
      <c r="D251" s="250"/>
      <c r="E251" s="250"/>
      <c r="F251" s="250"/>
      <c r="G251" s="250"/>
      <c r="H251" s="250"/>
      <c r="I251" s="250"/>
      <c r="J251" s="250"/>
      <c r="K251" s="250"/>
      <c r="L251"/>
    </row>
    <row r="252" spans="1:12">
      <c r="A252" s="19" t="s">
        <v>6</v>
      </c>
      <c r="B252" s="19"/>
      <c r="C252" s="19" t="s">
        <v>196</v>
      </c>
      <c r="D252" s="19"/>
      <c r="E252" s="19"/>
      <c r="F252" s="11" t="s">
        <v>6</v>
      </c>
      <c r="G252" s="11" t="s">
        <v>6</v>
      </c>
      <c r="H252" s="11" t="s">
        <v>282</v>
      </c>
      <c r="I252" s="30" t="s">
        <v>6</v>
      </c>
      <c r="J252" s="11" t="s">
        <v>6</v>
      </c>
      <c r="K252" s="143"/>
    </row>
    <row r="253" spans="1:12" s="4" customFormat="1">
      <c r="A253" s="37" t="s">
        <v>283</v>
      </c>
      <c r="B253" s="37"/>
      <c r="C253" s="19" t="s">
        <v>1003</v>
      </c>
      <c r="D253" s="37"/>
      <c r="E253" s="37"/>
      <c r="F253" s="39">
        <v>7500</v>
      </c>
      <c r="G253" s="39">
        <v>0</v>
      </c>
      <c r="H253" s="39">
        <v>5262.3</v>
      </c>
      <c r="I253" s="39">
        <v>7213.2</v>
      </c>
      <c r="J253" s="39">
        <v>19000</v>
      </c>
      <c r="K253" s="145" t="s">
        <v>913</v>
      </c>
    </row>
    <row r="254" spans="1:12" ht="15.75" thickBot="1">
      <c r="A254" s="19"/>
      <c r="B254" s="19"/>
      <c r="C254" s="19" t="s">
        <v>964</v>
      </c>
      <c r="D254" s="19"/>
      <c r="E254" s="19"/>
      <c r="F254" s="12">
        <f>SUM(F253)</f>
        <v>7500</v>
      </c>
      <c r="G254" s="12">
        <f t="shared" ref="G254:J254" si="44">SUM(G253)</f>
        <v>0</v>
      </c>
      <c r="H254" s="12">
        <f t="shared" si="44"/>
        <v>5262.3</v>
      </c>
      <c r="I254" s="12">
        <f t="shared" si="44"/>
        <v>7213.2</v>
      </c>
      <c r="J254" s="12">
        <f t="shared" si="44"/>
        <v>19000</v>
      </c>
      <c r="K254" s="114"/>
      <c r="L254"/>
    </row>
    <row r="255" spans="1:12" ht="15.75" thickTop="1">
      <c r="A255" s="19" t="s">
        <v>6</v>
      </c>
      <c r="B255" s="19"/>
      <c r="C255" s="19" t="s">
        <v>6</v>
      </c>
      <c r="D255" s="19" t="s">
        <v>6</v>
      </c>
      <c r="E255" s="19" t="s">
        <v>6</v>
      </c>
      <c r="F255" s="11" t="s">
        <v>6</v>
      </c>
      <c r="G255" s="11" t="s">
        <v>6</v>
      </c>
      <c r="H255" s="11" t="s">
        <v>6</v>
      </c>
      <c r="I255" s="30" t="s">
        <v>6</v>
      </c>
      <c r="J255" s="11" t="s">
        <v>6</v>
      </c>
      <c r="K255" s="114"/>
      <c r="L255"/>
    </row>
    <row r="256" spans="1:12">
      <c r="A256" s="19" t="s">
        <v>6</v>
      </c>
      <c r="B256" s="19" t="s">
        <v>6</v>
      </c>
      <c r="C256" s="19" t="s">
        <v>197</v>
      </c>
      <c r="D256" s="19"/>
      <c r="E256" s="19"/>
      <c r="F256" s="11" t="s">
        <v>6</v>
      </c>
      <c r="G256" s="11" t="s">
        <v>6</v>
      </c>
      <c r="H256" s="11" t="s">
        <v>6</v>
      </c>
      <c r="I256" s="30" t="s">
        <v>6</v>
      </c>
      <c r="J256" s="11" t="s">
        <v>6</v>
      </c>
      <c r="K256" s="114"/>
      <c r="L256"/>
    </row>
    <row r="257" spans="1:12" s="4" customFormat="1">
      <c r="A257" s="37" t="s">
        <v>284</v>
      </c>
      <c r="B257" s="37"/>
      <c r="C257" s="37" t="s">
        <v>207</v>
      </c>
      <c r="D257" s="37"/>
      <c r="E257" s="37"/>
      <c r="F257" s="39">
        <f>F254*0.0765</f>
        <v>573.75</v>
      </c>
      <c r="G257" s="39">
        <v>0</v>
      </c>
      <c r="H257" s="39">
        <v>402.59</v>
      </c>
      <c r="I257" s="39">
        <f>I254*0.0765</f>
        <v>551.8098</v>
      </c>
      <c r="J257" s="39">
        <f>J254*0.0765</f>
        <v>1453.5</v>
      </c>
      <c r="K257" s="145"/>
    </row>
    <row r="258" spans="1:12" ht="15.75" thickBot="1">
      <c r="A258" s="19" t="s">
        <v>6</v>
      </c>
      <c r="B258" s="19"/>
      <c r="C258" s="19" t="s">
        <v>960</v>
      </c>
      <c r="D258" s="19"/>
      <c r="E258" s="19"/>
      <c r="F258" s="12">
        <f>SUM(F257)</f>
        <v>573.75</v>
      </c>
      <c r="G258" s="12">
        <f t="shared" ref="G258:J258" si="45">SUM(G257)</f>
        <v>0</v>
      </c>
      <c r="H258" s="12">
        <f t="shared" si="45"/>
        <v>402.59</v>
      </c>
      <c r="I258" s="12">
        <f t="shared" si="45"/>
        <v>551.8098</v>
      </c>
      <c r="J258" s="12">
        <f t="shared" si="45"/>
        <v>1453.5</v>
      </c>
      <c r="K258" s="114"/>
      <c r="L258"/>
    </row>
    <row r="259" spans="1:12" ht="15.75" thickTop="1">
      <c r="A259" s="19"/>
      <c r="B259" s="19"/>
      <c r="C259" s="19"/>
      <c r="D259" s="19"/>
      <c r="E259" s="19"/>
      <c r="F259" s="13"/>
      <c r="G259" s="13"/>
      <c r="H259" s="13"/>
      <c r="I259" s="13"/>
      <c r="J259" s="13"/>
      <c r="K259" s="114"/>
      <c r="L259"/>
    </row>
    <row r="260" spans="1:12" s="3" customFormat="1" ht="15.75" thickBot="1">
      <c r="A260" s="9"/>
      <c r="B260" s="9"/>
      <c r="C260" s="9" t="s">
        <v>953</v>
      </c>
      <c r="D260" s="9"/>
      <c r="E260" s="9"/>
      <c r="F260" s="35">
        <f>F254+F258</f>
        <v>8073.75</v>
      </c>
      <c r="G260" s="35">
        <f t="shared" ref="G260:J260" si="46">G254+G258</f>
        <v>0</v>
      </c>
      <c r="H260" s="35">
        <f t="shared" si="46"/>
        <v>5664.89</v>
      </c>
      <c r="I260" s="35">
        <f t="shared" si="46"/>
        <v>7765.0097999999998</v>
      </c>
      <c r="J260" s="35">
        <f t="shared" si="46"/>
        <v>20453.5</v>
      </c>
      <c r="K260" s="109"/>
    </row>
    <row r="261" spans="1:12" ht="15.75" thickTop="1">
      <c r="A261" s="19" t="s">
        <v>6</v>
      </c>
      <c r="B261" s="19"/>
      <c r="C261" s="19" t="s">
        <v>6</v>
      </c>
      <c r="D261" s="19"/>
      <c r="E261" s="19"/>
      <c r="F261" s="11" t="s">
        <v>6</v>
      </c>
      <c r="G261" s="11" t="s">
        <v>6</v>
      </c>
      <c r="H261" s="11" t="s">
        <v>6</v>
      </c>
      <c r="I261" s="30" t="s">
        <v>6</v>
      </c>
      <c r="J261" s="11" t="s">
        <v>6</v>
      </c>
      <c r="K261" s="114"/>
      <c r="L261"/>
    </row>
    <row r="262" spans="1:12">
      <c r="A262" s="19" t="s">
        <v>6</v>
      </c>
      <c r="B262" s="19"/>
      <c r="C262" s="19" t="s">
        <v>204</v>
      </c>
      <c r="D262" s="19"/>
      <c r="E262" s="19"/>
      <c r="F262" s="11" t="s">
        <v>6</v>
      </c>
      <c r="G262" s="11" t="s">
        <v>6</v>
      </c>
      <c r="H262" s="11" t="s">
        <v>6</v>
      </c>
      <c r="I262" s="30" t="s">
        <v>6</v>
      </c>
      <c r="J262" s="11" t="s">
        <v>6</v>
      </c>
      <c r="K262" s="114"/>
      <c r="L262"/>
    </row>
    <row r="263" spans="1:12" s="4" customFormat="1">
      <c r="A263" s="37" t="s">
        <v>285</v>
      </c>
      <c r="B263" s="37"/>
      <c r="C263" s="37" t="s">
        <v>286</v>
      </c>
      <c r="D263" s="37"/>
      <c r="E263" s="37"/>
      <c r="F263" s="39">
        <v>4000</v>
      </c>
      <c r="G263" s="39">
        <v>0</v>
      </c>
      <c r="H263" s="39">
        <v>4503.05</v>
      </c>
      <c r="I263" s="39">
        <f t="shared" ref="I263" si="47">(H263/11)*12</f>
        <v>4912.4181818181823</v>
      </c>
      <c r="J263" s="39">
        <v>5500</v>
      </c>
      <c r="K263" s="145"/>
    </row>
    <row r="264" spans="1:12">
      <c r="A264" s="19" t="s">
        <v>744</v>
      </c>
      <c r="B264" s="19"/>
      <c r="C264" s="19" t="s">
        <v>29</v>
      </c>
      <c r="D264" s="19"/>
      <c r="E264" s="19"/>
      <c r="F264" s="11">
        <v>0</v>
      </c>
      <c r="G264" s="11">
        <v>0</v>
      </c>
      <c r="H264" s="11">
        <v>0</v>
      </c>
      <c r="I264" s="30">
        <v>0</v>
      </c>
      <c r="J264" s="11">
        <v>0</v>
      </c>
      <c r="K264" s="114"/>
      <c r="L264"/>
    </row>
    <row r="265" spans="1:12" s="3" customFormat="1" ht="15.75" thickBot="1">
      <c r="A265" s="9" t="s">
        <v>6</v>
      </c>
      <c r="B265" s="9"/>
      <c r="C265" s="9" t="s">
        <v>956</v>
      </c>
      <c r="D265" s="9"/>
      <c r="E265" s="9"/>
      <c r="F265" s="35">
        <f>SUM(F263:F264)</f>
        <v>4000</v>
      </c>
      <c r="G265" s="35">
        <f t="shared" ref="G265:J265" si="48">SUM(G263:G264)</f>
        <v>0</v>
      </c>
      <c r="H265" s="35">
        <f t="shared" si="48"/>
        <v>4503.05</v>
      </c>
      <c r="I265" s="35">
        <f t="shared" si="48"/>
        <v>4912.4181818181823</v>
      </c>
      <c r="J265" s="35">
        <f t="shared" si="48"/>
        <v>5500</v>
      </c>
      <c r="K265" s="109"/>
    </row>
    <row r="266" spans="1:12" ht="15.75" thickTop="1">
      <c r="A266" s="19" t="s">
        <v>6</v>
      </c>
      <c r="B266" s="19"/>
      <c r="C266" s="19" t="s">
        <v>6</v>
      </c>
      <c r="D266" s="19"/>
      <c r="E266" s="19"/>
      <c r="F266" s="11" t="s">
        <v>6</v>
      </c>
      <c r="G266" s="11"/>
      <c r="H266" s="11" t="s">
        <v>6</v>
      </c>
      <c r="I266" s="30" t="s">
        <v>6</v>
      </c>
      <c r="J266" s="11" t="s">
        <v>6</v>
      </c>
      <c r="K266" s="114"/>
      <c r="L266"/>
    </row>
    <row r="267" spans="1:12" ht="15.75" thickBot="1">
      <c r="A267" s="19"/>
      <c r="B267" s="19"/>
      <c r="C267" s="9" t="s">
        <v>965</v>
      </c>
      <c r="D267" s="19"/>
      <c r="E267" s="19"/>
      <c r="F267" s="35">
        <f>F260+F265</f>
        <v>12073.75</v>
      </c>
      <c r="G267" s="35">
        <f t="shared" ref="G267:J267" si="49">G260+G265</f>
        <v>0</v>
      </c>
      <c r="H267" s="35">
        <f t="shared" si="49"/>
        <v>10167.94</v>
      </c>
      <c r="I267" s="35">
        <f t="shared" si="49"/>
        <v>12677.427981818182</v>
      </c>
      <c r="J267" s="35">
        <f t="shared" si="49"/>
        <v>25953.5</v>
      </c>
      <c r="K267" s="114"/>
      <c r="L267"/>
    </row>
    <row r="268" spans="1:12" ht="15.75" thickTop="1">
      <c r="A268" s="19"/>
      <c r="B268" s="19"/>
      <c r="C268" s="19"/>
      <c r="D268" s="19"/>
      <c r="E268" s="19"/>
      <c r="F268" s="11"/>
      <c r="G268" s="11"/>
      <c r="H268" s="11"/>
      <c r="I268" s="30"/>
      <c r="J268" s="11"/>
      <c r="K268" s="143"/>
    </row>
    <row r="269" spans="1:12">
      <c r="A269" s="19" t="s">
        <v>6</v>
      </c>
      <c r="B269" s="19"/>
      <c r="C269" s="19" t="s">
        <v>6</v>
      </c>
      <c r="D269" s="19"/>
      <c r="E269" s="19"/>
      <c r="F269" s="11" t="s">
        <v>6</v>
      </c>
      <c r="G269" s="11" t="s">
        <v>6</v>
      </c>
      <c r="H269" s="11" t="s">
        <v>6</v>
      </c>
      <c r="I269" s="30" t="s">
        <v>6</v>
      </c>
      <c r="J269" s="11" t="s">
        <v>6</v>
      </c>
      <c r="K269" s="143"/>
    </row>
    <row r="270" spans="1:12">
      <c r="A270" s="250" t="s">
        <v>805</v>
      </c>
      <c r="B270" s="250"/>
      <c r="C270" s="250"/>
      <c r="D270" s="250"/>
      <c r="E270" s="250"/>
      <c r="F270" s="250"/>
      <c r="G270" s="250"/>
      <c r="H270" s="250"/>
      <c r="I270" s="250"/>
      <c r="J270" s="250"/>
      <c r="K270" s="250"/>
      <c r="L270"/>
    </row>
    <row r="271" spans="1:12">
      <c r="A271" s="19" t="s">
        <v>6</v>
      </c>
      <c r="B271" s="19"/>
      <c r="C271" s="19" t="s">
        <v>196</v>
      </c>
      <c r="D271" s="19"/>
      <c r="E271" s="19"/>
      <c r="F271" s="11" t="s">
        <v>6</v>
      </c>
      <c r="G271" s="11" t="s">
        <v>6</v>
      </c>
      <c r="H271" s="11" t="s">
        <v>6</v>
      </c>
      <c r="I271" s="30" t="s">
        <v>6</v>
      </c>
      <c r="J271" s="11" t="s">
        <v>6</v>
      </c>
      <c r="K271" s="143"/>
    </row>
    <row r="272" spans="1:12" s="4" customFormat="1">
      <c r="A272" s="37" t="s">
        <v>288</v>
      </c>
      <c r="B272" s="37"/>
      <c r="C272" s="37" t="s">
        <v>1004</v>
      </c>
      <c r="D272" s="37"/>
      <c r="E272" s="37"/>
      <c r="F272" s="39">
        <v>278678</v>
      </c>
      <c r="G272" s="39">
        <v>0</v>
      </c>
      <c r="H272" s="39">
        <v>270537.59999999998</v>
      </c>
      <c r="I272" s="39">
        <v>280265.93</v>
      </c>
      <c r="J272" s="39">
        <v>330000</v>
      </c>
      <c r="K272" s="145"/>
    </row>
    <row r="273" spans="1:12" s="4" customFormat="1">
      <c r="A273" s="37" t="s">
        <v>289</v>
      </c>
      <c r="B273" s="37"/>
      <c r="C273" s="37" t="s">
        <v>1005</v>
      </c>
      <c r="D273" s="37"/>
      <c r="E273" s="37"/>
      <c r="F273" s="39">
        <v>30000</v>
      </c>
      <c r="G273" s="39">
        <v>0</v>
      </c>
      <c r="H273" s="39">
        <v>59441.45</v>
      </c>
      <c r="I273" s="39">
        <f t="shared" ref="I273" si="50">(H273/11)*12</f>
        <v>64845.218181818185</v>
      </c>
      <c r="J273" s="39">
        <v>30000</v>
      </c>
      <c r="K273" s="145"/>
    </row>
    <row r="274" spans="1:12" s="4" customFormat="1">
      <c r="A274" s="37" t="s">
        <v>290</v>
      </c>
      <c r="B274" s="37"/>
      <c r="C274" s="37" t="s">
        <v>291</v>
      </c>
      <c r="D274" s="37"/>
      <c r="E274" s="37"/>
      <c r="F274" s="39">
        <v>1000</v>
      </c>
      <c r="G274" s="39">
        <v>0</v>
      </c>
      <c r="H274" s="39">
        <v>115.98</v>
      </c>
      <c r="I274" s="39">
        <f t="shared" ref="I274" si="51">(H274/11)*12</f>
        <v>126.52363636363637</v>
      </c>
      <c r="J274" s="39">
        <v>1000</v>
      </c>
      <c r="K274" s="145"/>
    </row>
    <row r="275" spans="1:12" ht="15.75" thickBot="1">
      <c r="A275" s="19" t="s">
        <v>6</v>
      </c>
      <c r="B275" s="19"/>
      <c r="C275" s="19" t="s">
        <v>959</v>
      </c>
      <c r="D275" s="19"/>
      <c r="E275" s="19"/>
      <c r="F275" s="12">
        <f>SUM(F272:F274)</f>
        <v>309678</v>
      </c>
      <c r="G275" s="12">
        <f t="shared" ref="G275:J275" si="52">SUM(G272:G274)</f>
        <v>0</v>
      </c>
      <c r="H275" s="12">
        <f t="shared" si="52"/>
        <v>330095.02999999997</v>
      </c>
      <c r="I275" s="12">
        <f t="shared" si="52"/>
        <v>345237.67181818181</v>
      </c>
      <c r="J275" s="12">
        <f t="shared" si="52"/>
        <v>361000</v>
      </c>
      <c r="K275" s="114"/>
      <c r="L275"/>
    </row>
    <row r="276" spans="1:12" ht="15.75" thickTop="1">
      <c r="A276" s="19" t="s">
        <v>6</v>
      </c>
      <c r="B276" s="19" t="s">
        <v>6</v>
      </c>
      <c r="C276" s="19" t="s">
        <v>6</v>
      </c>
      <c r="D276" s="19" t="s">
        <v>6</v>
      </c>
      <c r="E276" s="19" t="s">
        <v>6</v>
      </c>
      <c r="F276" s="11" t="s">
        <v>6</v>
      </c>
      <c r="G276" s="11" t="s">
        <v>6</v>
      </c>
      <c r="H276" s="11" t="s">
        <v>6</v>
      </c>
      <c r="I276" s="30" t="s">
        <v>6</v>
      </c>
      <c r="J276" s="11" t="s">
        <v>6</v>
      </c>
      <c r="K276" s="143"/>
    </row>
    <row r="277" spans="1:12">
      <c r="A277" s="19" t="s">
        <v>6</v>
      </c>
      <c r="B277" s="19"/>
      <c r="C277" s="19" t="s">
        <v>197</v>
      </c>
      <c r="D277" s="19"/>
      <c r="E277" s="19"/>
      <c r="F277" s="11" t="s">
        <v>6</v>
      </c>
      <c r="G277" s="11" t="s">
        <v>6</v>
      </c>
      <c r="H277" s="11" t="s">
        <v>6</v>
      </c>
      <c r="I277" s="30" t="s">
        <v>6</v>
      </c>
      <c r="J277" s="11" t="s">
        <v>6</v>
      </c>
      <c r="K277" s="143"/>
    </row>
    <row r="278" spans="1:12" s="4" customFormat="1">
      <c r="A278" s="37" t="s">
        <v>292</v>
      </c>
      <c r="B278" s="37"/>
      <c r="C278" s="37" t="s">
        <v>293</v>
      </c>
      <c r="D278" s="37"/>
      <c r="E278" s="37"/>
      <c r="F278" s="120">
        <v>4490</v>
      </c>
      <c r="G278" s="120">
        <v>0</v>
      </c>
      <c r="H278" s="120">
        <v>7301.38</v>
      </c>
      <c r="I278" s="120">
        <f>(I275*0.0145)+1998.26</f>
        <v>7004.2062413636368</v>
      </c>
      <c r="J278" s="120">
        <f>J275*0.0145</f>
        <v>5234.5</v>
      </c>
      <c r="K278" s="145"/>
      <c r="L278" s="153"/>
    </row>
    <row r="279" spans="1:12" s="4" customFormat="1" ht="26.25">
      <c r="A279" s="37" t="s">
        <v>294</v>
      </c>
      <c r="B279" s="37"/>
      <c r="C279" s="37" t="s">
        <v>295</v>
      </c>
      <c r="D279" s="37"/>
      <c r="E279" s="37"/>
      <c r="F279" s="39">
        <v>24774</v>
      </c>
      <c r="G279" s="39">
        <v>0</v>
      </c>
      <c r="H279" s="39">
        <v>33537.85</v>
      </c>
      <c r="I279" s="47">
        <f>(I275*0.08)+12000</f>
        <v>39619.013745454547</v>
      </c>
      <c r="J279" s="47">
        <f>J275*0.08</f>
        <v>28880</v>
      </c>
      <c r="K279" s="162" t="s">
        <v>940</v>
      </c>
    </row>
    <row r="280" spans="1:12" ht="15.75" thickBot="1">
      <c r="A280" s="19"/>
      <c r="B280" s="19"/>
      <c r="C280" s="19" t="s">
        <v>960</v>
      </c>
      <c r="D280" s="19"/>
      <c r="E280" s="19"/>
      <c r="F280" s="12">
        <f>SUM(F278:F279)</f>
        <v>29264</v>
      </c>
      <c r="G280" s="12">
        <f t="shared" ref="G280:J280" si="53">SUM(G278:G279)</f>
        <v>0</v>
      </c>
      <c r="H280" s="12">
        <f t="shared" si="53"/>
        <v>40839.229999999996</v>
      </c>
      <c r="I280" s="12">
        <f t="shared" si="53"/>
        <v>46623.219986818185</v>
      </c>
      <c r="J280" s="12">
        <f t="shared" si="53"/>
        <v>34114.5</v>
      </c>
      <c r="K280" s="114"/>
      <c r="L280"/>
    </row>
    <row r="281" spans="1:12" ht="15.75" thickTop="1">
      <c r="A281" s="19"/>
      <c r="B281" s="19"/>
      <c r="C281" s="19"/>
      <c r="D281" s="19"/>
      <c r="E281" s="19"/>
      <c r="F281" s="11"/>
      <c r="G281" s="11"/>
      <c r="H281" s="11"/>
      <c r="I281" s="30"/>
      <c r="J281" s="11"/>
      <c r="K281" s="143"/>
    </row>
    <row r="282" spans="1:12" s="3" customFormat="1" ht="15.75" thickBot="1">
      <c r="A282" s="9"/>
      <c r="B282" s="9"/>
      <c r="C282" s="9" t="s">
        <v>953</v>
      </c>
      <c r="D282" s="9"/>
      <c r="E282" s="9"/>
      <c r="F282" s="35">
        <f>F275+F280</f>
        <v>338942</v>
      </c>
      <c r="G282" s="35">
        <f t="shared" ref="G282:J282" si="54">G275+G280</f>
        <v>0</v>
      </c>
      <c r="H282" s="35">
        <f t="shared" si="54"/>
        <v>370934.25999999995</v>
      </c>
      <c r="I282" s="35">
        <f t="shared" si="54"/>
        <v>391860.89180500002</v>
      </c>
      <c r="J282" s="35">
        <f t="shared" si="54"/>
        <v>395114.5</v>
      </c>
      <c r="K282" s="109"/>
    </row>
    <row r="283" spans="1:12" ht="15.75" thickTop="1">
      <c r="A283" s="19"/>
      <c r="B283" s="19"/>
      <c r="C283" s="19"/>
      <c r="D283" s="19"/>
      <c r="E283" s="19"/>
      <c r="F283" s="20"/>
      <c r="G283" s="20"/>
      <c r="H283" s="20"/>
      <c r="J283" s="20"/>
      <c r="K283" s="143"/>
    </row>
    <row r="284" spans="1:12">
      <c r="A284" s="19" t="s">
        <v>6</v>
      </c>
      <c r="B284" s="19"/>
      <c r="C284" s="19" t="s">
        <v>199</v>
      </c>
      <c r="D284" s="19"/>
      <c r="E284" s="19"/>
      <c r="F284" s="11" t="s">
        <v>6</v>
      </c>
      <c r="G284" s="11" t="s">
        <v>6</v>
      </c>
      <c r="H284" s="11" t="s">
        <v>6</v>
      </c>
      <c r="I284" s="30" t="s">
        <v>6</v>
      </c>
      <c r="J284" s="11" t="s">
        <v>6</v>
      </c>
      <c r="K284" s="143"/>
    </row>
    <row r="285" spans="1:12">
      <c r="A285" s="19" t="s">
        <v>296</v>
      </c>
      <c r="B285" s="19"/>
      <c r="C285" s="19" t="s">
        <v>297</v>
      </c>
      <c r="D285" s="19"/>
      <c r="E285" s="19"/>
      <c r="F285" s="11">
        <v>1000</v>
      </c>
      <c r="G285" s="11">
        <v>0</v>
      </c>
      <c r="H285" s="11">
        <v>3079</v>
      </c>
      <c r="I285" s="39">
        <f t="shared" ref="I285:I286" si="55">(H285/11)*12</f>
        <v>3358.909090909091</v>
      </c>
      <c r="J285" s="11">
        <v>2000</v>
      </c>
      <c r="K285" s="1"/>
      <c r="L285"/>
    </row>
    <row r="286" spans="1:12">
      <c r="A286" s="19" t="s">
        <v>298</v>
      </c>
      <c r="B286" s="19"/>
      <c r="C286" s="19" t="s">
        <v>201</v>
      </c>
      <c r="D286" s="19"/>
      <c r="E286" s="19"/>
      <c r="F286" s="11">
        <v>1200</v>
      </c>
      <c r="G286" s="11">
        <v>0</v>
      </c>
      <c r="H286" s="11">
        <v>888.15</v>
      </c>
      <c r="I286" s="39">
        <f t="shared" si="55"/>
        <v>968.89090909090896</v>
      </c>
      <c r="J286" s="11">
        <v>1200</v>
      </c>
      <c r="K286" s="1"/>
      <c r="L286"/>
    </row>
    <row r="287" spans="1:12" s="4" customFormat="1">
      <c r="A287" s="37" t="s">
        <v>299</v>
      </c>
      <c r="B287" s="37"/>
      <c r="C287" s="37" t="s">
        <v>1047</v>
      </c>
      <c r="D287" s="37"/>
      <c r="E287" s="37"/>
      <c r="F287" s="39">
        <v>10000</v>
      </c>
      <c r="G287" s="39">
        <v>0</v>
      </c>
      <c r="H287" s="39">
        <v>28855.68</v>
      </c>
      <c r="I287" s="47">
        <v>10000</v>
      </c>
      <c r="J287" s="39">
        <v>10000</v>
      </c>
      <c r="K287" s="145" t="s">
        <v>1046</v>
      </c>
    </row>
    <row r="288" spans="1:12" s="3" customFormat="1" ht="15.75" thickBot="1">
      <c r="A288" s="9"/>
      <c r="B288" s="9"/>
      <c r="C288" s="9" t="s">
        <v>954</v>
      </c>
      <c r="D288" s="9"/>
      <c r="E288" s="9"/>
      <c r="F288" s="35">
        <f>SUM(F285:F287)</f>
        <v>12200</v>
      </c>
      <c r="G288" s="35">
        <f t="shared" ref="G288:J288" si="56">SUM(G285:G287)</f>
        <v>0</v>
      </c>
      <c r="H288" s="35">
        <f t="shared" si="56"/>
        <v>32822.83</v>
      </c>
      <c r="I288" s="35">
        <f t="shared" si="56"/>
        <v>14327.8</v>
      </c>
      <c r="J288" s="35">
        <f t="shared" si="56"/>
        <v>13200</v>
      </c>
      <c r="K288" s="2"/>
    </row>
    <row r="289" spans="1:12" ht="15.75" thickTop="1">
      <c r="A289" s="19"/>
      <c r="B289" s="19"/>
      <c r="C289" s="19"/>
      <c r="D289" s="19"/>
      <c r="E289" s="19"/>
      <c r="F289" s="20"/>
      <c r="G289" s="20"/>
      <c r="H289" s="20"/>
      <c r="J289" s="20"/>
      <c r="K289" s="143"/>
    </row>
    <row r="290" spans="1:12">
      <c r="A290" s="19" t="s">
        <v>6</v>
      </c>
      <c r="B290" s="19"/>
      <c r="C290" s="19" t="s">
        <v>202</v>
      </c>
      <c r="D290" s="19"/>
      <c r="E290" s="19"/>
      <c r="F290" s="11" t="s">
        <v>6</v>
      </c>
      <c r="G290" s="11" t="s">
        <v>6</v>
      </c>
      <c r="H290" s="11" t="s">
        <v>6</v>
      </c>
      <c r="I290" s="30" t="s">
        <v>6</v>
      </c>
      <c r="J290" s="11" t="s">
        <v>6</v>
      </c>
      <c r="K290" s="143"/>
    </row>
    <row r="291" spans="1:12" s="4" customFormat="1">
      <c r="A291" s="37" t="s">
        <v>300</v>
      </c>
      <c r="B291" s="37"/>
      <c r="C291" s="37" t="s">
        <v>243</v>
      </c>
      <c r="D291" s="37"/>
      <c r="E291" s="37"/>
      <c r="F291" s="39">
        <v>100</v>
      </c>
      <c r="G291" s="39">
        <v>0</v>
      </c>
      <c r="H291" s="39">
        <v>220</v>
      </c>
      <c r="I291" s="39">
        <f t="shared" ref="I291:I295" si="57">(H291/11)*12</f>
        <v>240</v>
      </c>
      <c r="J291" s="39">
        <v>220</v>
      </c>
      <c r="K291" s="145"/>
    </row>
    <row r="292" spans="1:12">
      <c r="A292" s="19" t="s">
        <v>301</v>
      </c>
      <c r="B292" s="19"/>
      <c r="C292" s="19" t="s">
        <v>302</v>
      </c>
      <c r="D292" s="19"/>
      <c r="E292" s="19"/>
      <c r="F292" s="11">
        <v>2500</v>
      </c>
      <c r="G292" s="11">
        <v>0</v>
      </c>
      <c r="H292" s="11">
        <v>583.59</v>
      </c>
      <c r="I292" s="39">
        <f t="shared" si="57"/>
        <v>636.64363636363635</v>
      </c>
      <c r="J292" s="11">
        <v>2000</v>
      </c>
      <c r="K292" s="114"/>
      <c r="L292"/>
    </row>
    <row r="293" spans="1:12">
      <c r="A293" s="19" t="s">
        <v>303</v>
      </c>
      <c r="B293" s="19"/>
      <c r="C293" s="19" t="s">
        <v>304</v>
      </c>
      <c r="D293" s="19"/>
      <c r="E293" s="19"/>
      <c r="F293" s="11">
        <v>1000</v>
      </c>
      <c r="G293" s="11">
        <v>0</v>
      </c>
      <c r="H293" s="11">
        <v>1000</v>
      </c>
      <c r="I293" s="39">
        <v>1000</v>
      </c>
      <c r="J293" s="11">
        <v>2000</v>
      </c>
      <c r="K293" s="114"/>
      <c r="L293"/>
    </row>
    <row r="294" spans="1:12">
      <c r="A294" s="19" t="s">
        <v>305</v>
      </c>
      <c r="B294" s="19"/>
      <c r="C294" s="19" t="s">
        <v>306</v>
      </c>
      <c r="D294" s="19"/>
      <c r="E294" s="19"/>
      <c r="F294" s="11">
        <v>500</v>
      </c>
      <c r="G294" s="11">
        <v>0</v>
      </c>
      <c r="H294" s="11">
        <v>721.43</v>
      </c>
      <c r="I294" s="39">
        <f t="shared" si="57"/>
        <v>787.01454545454544</v>
      </c>
      <c r="J294" s="11">
        <v>800</v>
      </c>
      <c r="K294" s="114"/>
      <c r="L294"/>
    </row>
    <row r="295" spans="1:12" s="4" customFormat="1">
      <c r="A295" s="37" t="s">
        <v>307</v>
      </c>
      <c r="B295" s="37"/>
      <c r="C295" s="37" t="s">
        <v>269</v>
      </c>
      <c r="D295" s="37"/>
      <c r="E295" s="37"/>
      <c r="F295" s="39">
        <v>2000</v>
      </c>
      <c r="G295" s="39">
        <v>0</v>
      </c>
      <c r="H295" s="39">
        <v>2913.36</v>
      </c>
      <c r="I295" s="39">
        <f t="shared" si="57"/>
        <v>3178.2109090909094</v>
      </c>
      <c r="J295" s="39">
        <v>2800</v>
      </c>
      <c r="K295" s="145"/>
    </row>
    <row r="296" spans="1:12" s="4" customFormat="1">
      <c r="A296" s="37" t="s">
        <v>308</v>
      </c>
      <c r="B296" s="37"/>
      <c r="C296" s="37" t="s">
        <v>309</v>
      </c>
      <c r="D296" s="37"/>
      <c r="E296" s="37"/>
      <c r="F296" s="39">
        <v>2000</v>
      </c>
      <c r="G296" s="39">
        <v>0</v>
      </c>
      <c r="H296" s="39">
        <v>1582.35</v>
      </c>
      <c r="I296" s="39">
        <v>1582</v>
      </c>
      <c r="J296" s="39">
        <v>1600</v>
      </c>
      <c r="K296" s="145"/>
    </row>
    <row r="297" spans="1:12">
      <c r="A297" s="19" t="s">
        <v>310</v>
      </c>
      <c r="B297" s="19"/>
      <c r="C297" s="19" t="s">
        <v>311</v>
      </c>
      <c r="D297" s="19"/>
      <c r="E297" s="19"/>
      <c r="F297" s="11">
        <v>8000</v>
      </c>
      <c r="G297" s="11">
        <v>0</v>
      </c>
      <c r="H297" s="11">
        <v>7554.9</v>
      </c>
      <c r="I297" s="39">
        <f t="shared" ref="I297:I298" si="58">(H297/11)*12</f>
        <v>8241.7090909090912</v>
      </c>
      <c r="J297" s="11">
        <v>6000</v>
      </c>
      <c r="K297" s="114"/>
      <c r="L297"/>
    </row>
    <row r="298" spans="1:12" s="4" customFormat="1">
      <c r="A298" s="37" t="s">
        <v>312</v>
      </c>
      <c r="B298" s="37"/>
      <c r="C298" s="37" t="s">
        <v>313</v>
      </c>
      <c r="D298" s="37"/>
      <c r="E298" s="37"/>
      <c r="F298" s="39">
        <v>2500</v>
      </c>
      <c r="G298" s="39">
        <v>0</v>
      </c>
      <c r="H298" s="39">
        <v>4148.26</v>
      </c>
      <c r="I298" s="39">
        <f t="shared" si="58"/>
        <v>4525.374545454546</v>
      </c>
      <c r="J298" s="39">
        <v>2500</v>
      </c>
      <c r="K298" s="145"/>
    </row>
    <row r="299" spans="1:12">
      <c r="A299" s="19" t="s">
        <v>314</v>
      </c>
      <c r="B299" s="19"/>
      <c r="C299" s="19" t="s">
        <v>315</v>
      </c>
      <c r="D299" s="19"/>
      <c r="E299" s="19"/>
      <c r="F299" s="11">
        <v>3200</v>
      </c>
      <c r="G299" s="11">
        <v>0</v>
      </c>
      <c r="H299" s="11">
        <v>3168</v>
      </c>
      <c r="I299" s="11">
        <v>3168</v>
      </c>
      <c r="J299" s="11">
        <v>3200</v>
      </c>
      <c r="K299" s="114"/>
      <c r="L299"/>
    </row>
    <row r="300" spans="1:12" s="3" customFormat="1" ht="15.75" thickBot="1">
      <c r="A300" s="9"/>
      <c r="B300" s="9"/>
      <c r="C300" s="9" t="s">
        <v>955</v>
      </c>
      <c r="D300" s="9"/>
      <c r="E300" s="9"/>
      <c r="F300" s="35">
        <f>SUM(F291:F299)</f>
        <v>21800</v>
      </c>
      <c r="G300" s="35">
        <f t="shared" ref="G300:J300" si="59">SUM(G291:G299)</f>
        <v>0</v>
      </c>
      <c r="H300" s="35">
        <f t="shared" si="59"/>
        <v>21891.89</v>
      </c>
      <c r="I300" s="35">
        <f t="shared" si="59"/>
        <v>23358.952727272728</v>
      </c>
      <c r="J300" s="35">
        <f t="shared" si="59"/>
        <v>21120</v>
      </c>
      <c r="K300" s="109"/>
    </row>
    <row r="301" spans="1:12" ht="15.75" thickTop="1">
      <c r="A301" s="19"/>
      <c r="B301" s="19"/>
      <c r="C301" s="19"/>
      <c r="D301" s="19"/>
      <c r="E301" s="19"/>
      <c r="F301" s="20"/>
      <c r="G301" s="20"/>
      <c r="H301" s="20"/>
      <c r="I301" s="20"/>
      <c r="J301" s="20"/>
      <c r="K301" s="143"/>
    </row>
    <row r="302" spans="1:12">
      <c r="A302" s="19"/>
      <c r="B302" s="19"/>
      <c r="C302" s="19" t="s">
        <v>204</v>
      </c>
      <c r="D302" s="19"/>
      <c r="E302" s="19"/>
      <c r="F302" s="20"/>
      <c r="G302" s="20"/>
      <c r="H302" s="20" t="s">
        <v>6</v>
      </c>
      <c r="I302" s="20"/>
      <c r="J302" s="23"/>
      <c r="K302" s="148"/>
    </row>
    <row r="303" spans="1:12" s="4" customFormat="1">
      <c r="A303" s="37" t="s">
        <v>316</v>
      </c>
      <c r="B303" s="37"/>
      <c r="C303" s="37" t="s">
        <v>275</v>
      </c>
      <c r="D303" s="37"/>
      <c r="E303" s="37"/>
      <c r="F303" s="39">
        <v>500</v>
      </c>
      <c r="G303" s="39">
        <v>0</v>
      </c>
      <c r="H303" s="39">
        <v>446.32</v>
      </c>
      <c r="I303" s="39">
        <f t="shared" ref="I303:I304" si="60">(H303/11)*12</f>
        <v>486.89454545454544</v>
      </c>
      <c r="J303" s="39">
        <v>700</v>
      </c>
      <c r="K303" s="155"/>
    </row>
    <row r="304" spans="1:12" s="4" customFormat="1">
      <c r="A304" s="37" t="s">
        <v>317</v>
      </c>
      <c r="B304" s="37"/>
      <c r="C304" s="37" t="s">
        <v>279</v>
      </c>
      <c r="D304" s="37"/>
      <c r="E304" s="37"/>
      <c r="F304" s="39">
        <v>13000</v>
      </c>
      <c r="G304" s="39">
        <v>0</v>
      </c>
      <c r="H304" s="39">
        <v>12544.04</v>
      </c>
      <c r="I304" s="39">
        <f t="shared" si="60"/>
        <v>13684.407272727274</v>
      </c>
      <c r="J304" s="39">
        <v>13000</v>
      </c>
      <c r="K304" s="155"/>
    </row>
    <row r="305" spans="1:12" s="3" customFormat="1" ht="15.75" thickBot="1">
      <c r="A305" s="9"/>
      <c r="B305" s="9"/>
      <c r="C305" s="9" t="s">
        <v>956</v>
      </c>
      <c r="D305" s="9"/>
      <c r="E305" s="9"/>
      <c r="F305" s="35">
        <f>SUM(F303:F304)</f>
        <v>13500</v>
      </c>
      <c r="G305" s="35">
        <f t="shared" ref="G305:J305" si="61">SUM(G303:G304)</f>
        <v>0</v>
      </c>
      <c r="H305" s="35">
        <f t="shared" si="61"/>
        <v>12990.36</v>
      </c>
      <c r="I305" s="35">
        <f t="shared" si="61"/>
        <v>14171.301818181819</v>
      </c>
      <c r="J305" s="35">
        <f t="shared" si="61"/>
        <v>13700</v>
      </c>
      <c r="K305" s="2"/>
    </row>
    <row r="306" spans="1:12" ht="15.75" thickTop="1">
      <c r="A306" s="19"/>
      <c r="B306" s="19"/>
      <c r="C306" s="19"/>
      <c r="D306" s="19"/>
      <c r="E306" s="19"/>
      <c r="F306" s="20"/>
      <c r="G306" s="20"/>
      <c r="H306" s="20"/>
      <c r="I306" s="20"/>
      <c r="J306" s="23"/>
      <c r="K306" s="148"/>
    </row>
    <row r="307" spans="1:12">
      <c r="A307" s="19"/>
      <c r="B307" s="19"/>
      <c r="C307" s="19" t="s">
        <v>217</v>
      </c>
      <c r="D307" s="19"/>
      <c r="E307" s="19"/>
      <c r="F307" s="20"/>
      <c r="G307" s="20"/>
      <c r="H307" s="20"/>
      <c r="I307" s="20"/>
      <c r="J307" s="23"/>
      <c r="K307" s="148"/>
    </row>
    <row r="308" spans="1:12">
      <c r="A308" s="19" t="s">
        <v>318</v>
      </c>
      <c r="B308" s="19"/>
      <c r="C308" s="19" t="s">
        <v>319</v>
      </c>
      <c r="D308" s="19"/>
      <c r="E308" s="19"/>
      <c r="F308" s="11">
        <v>4790</v>
      </c>
      <c r="G308" s="11">
        <v>0</v>
      </c>
      <c r="H308" s="11">
        <v>4790</v>
      </c>
      <c r="I308" s="11">
        <v>4790</v>
      </c>
      <c r="J308" s="14">
        <v>4790</v>
      </c>
      <c r="K308" s="1"/>
      <c r="L308"/>
    </row>
    <row r="309" spans="1:12" s="4" customFormat="1">
      <c r="A309" s="37" t="s">
        <v>320</v>
      </c>
      <c r="B309" s="37"/>
      <c r="C309" s="37" t="s">
        <v>321</v>
      </c>
      <c r="D309" s="37"/>
      <c r="E309" s="37"/>
      <c r="F309" s="39">
        <v>5000</v>
      </c>
      <c r="G309" s="39">
        <v>0</v>
      </c>
      <c r="H309" s="39">
        <v>6088.79</v>
      </c>
      <c r="I309" s="39">
        <f t="shared" ref="I309" si="62">(H309/11)*12</f>
        <v>6642.3163636363633</v>
      </c>
      <c r="J309" s="39">
        <v>5000</v>
      </c>
      <c r="K309" s="155"/>
    </row>
    <row r="310" spans="1:12" s="4" customFormat="1">
      <c r="A310" s="37" t="s">
        <v>322</v>
      </c>
      <c r="B310" s="37"/>
      <c r="C310" s="37" t="s">
        <v>323</v>
      </c>
      <c r="D310" s="37"/>
      <c r="E310" s="37"/>
      <c r="F310" s="39">
        <v>3400</v>
      </c>
      <c r="G310" s="39">
        <v>0</v>
      </c>
      <c r="H310" s="39">
        <v>3367.5</v>
      </c>
      <c r="I310" s="39">
        <v>3367.5</v>
      </c>
      <c r="J310" s="39">
        <v>3368</v>
      </c>
      <c r="K310" s="155"/>
    </row>
    <row r="311" spans="1:12" s="3" customFormat="1" ht="15.75" thickBot="1">
      <c r="A311" s="9"/>
      <c r="B311" s="9"/>
      <c r="C311" s="9" t="s">
        <v>961</v>
      </c>
      <c r="D311" s="9"/>
      <c r="E311" s="9"/>
      <c r="F311" s="35">
        <f>SUM(F308:F310)</f>
        <v>13190</v>
      </c>
      <c r="G311" s="35">
        <f t="shared" ref="G311:J311" si="63">SUM(G308:G310)</f>
        <v>0</v>
      </c>
      <c r="H311" s="35">
        <f t="shared" si="63"/>
        <v>14246.29</v>
      </c>
      <c r="I311" s="35">
        <f t="shared" si="63"/>
        <v>14799.816363636364</v>
      </c>
      <c r="J311" s="35">
        <f t="shared" si="63"/>
        <v>13158</v>
      </c>
      <c r="K311" s="2"/>
    </row>
    <row r="312" spans="1:12" ht="15.75" thickTop="1">
      <c r="A312" s="19"/>
      <c r="B312" s="19"/>
      <c r="C312" s="19"/>
      <c r="D312" s="19"/>
      <c r="E312" s="19"/>
      <c r="F312" s="20"/>
      <c r="G312" s="20"/>
      <c r="H312" s="20"/>
      <c r="J312" s="23"/>
      <c r="K312" s="148"/>
    </row>
    <row r="313" spans="1:12">
      <c r="A313" s="19"/>
      <c r="B313" s="19"/>
      <c r="C313" s="19" t="s">
        <v>287</v>
      </c>
      <c r="D313" s="19"/>
      <c r="E313" s="19"/>
      <c r="F313" s="20"/>
      <c r="G313" s="20"/>
      <c r="H313" s="20"/>
      <c r="J313" s="23"/>
      <c r="K313" s="148"/>
    </row>
    <row r="314" spans="1:12" s="4" customFormat="1">
      <c r="A314" s="37" t="s">
        <v>516</v>
      </c>
      <c r="B314" s="37"/>
      <c r="C314" s="37" t="s">
        <v>324</v>
      </c>
      <c r="D314" s="37"/>
      <c r="E314" s="37"/>
      <c r="F314" s="39">
        <v>6000</v>
      </c>
      <c r="G314" s="39">
        <v>0</v>
      </c>
      <c r="H314" s="39">
        <v>4538.96</v>
      </c>
      <c r="I314" s="47">
        <v>0</v>
      </c>
      <c r="J314" s="39">
        <v>0</v>
      </c>
      <c r="K314" s="145"/>
      <c r="L314" s="39"/>
    </row>
    <row r="315" spans="1:12" s="3" customFormat="1" ht="15.75" thickBot="1">
      <c r="A315" s="9"/>
      <c r="B315" s="9"/>
      <c r="C315" s="9" t="s">
        <v>962</v>
      </c>
      <c r="D315" s="9"/>
      <c r="E315" s="9"/>
      <c r="F315" s="35">
        <f>SUM(F314)</f>
        <v>6000</v>
      </c>
      <c r="G315" s="35">
        <f t="shared" ref="G315:J315" si="64">SUM(G314)</f>
        <v>0</v>
      </c>
      <c r="H315" s="35">
        <f t="shared" si="64"/>
        <v>4538.96</v>
      </c>
      <c r="I315" s="35">
        <f t="shared" si="64"/>
        <v>0</v>
      </c>
      <c r="J315" s="35">
        <f t="shared" si="64"/>
        <v>0</v>
      </c>
      <c r="K315" s="109"/>
    </row>
    <row r="316" spans="1:12" ht="15.75" thickTop="1">
      <c r="A316" s="19"/>
      <c r="B316" s="19"/>
      <c r="C316" s="19"/>
      <c r="D316" s="19"/>
      <c r="E316" s="19"/>
      <c r="F316" s="20"/>
      <c r="G316" s="20"/>
      <c r="H316" s="20"/>
      <c r="J316" s="23"/>
      <c r="K316" s="148"/>
    </row>
    <row r="317" spans="1:12">
      <c r="A317" s="19"/>
      <c r="B317" s="19"/>
      <c r="C317" s="19" t="s">
        <v>30</v>
      </c>
      <c r="D317" s="19"/>
      <c r="E317" s="19"/>
      <c r="F317" s="20"/>
      <c r="G317" s="20"/>
      <c r="H317" s="20"/>
      <c r="J317" s="23"/>
      <c r="K317" s="114"/>
      <c r="L317"/>
    </row>
    <row r="318" spans="1:12" s="4" customFormat="1" ht="26.25">
      <c r="A318" s="37" t="s">
        <v>850</v>
      </c>
      <c r="B318" s="37"/>
      <c r="C318" s="37" t="s">
        <v>851</v>
      </c>
      <c r="D318" s="37"/>
      <c r="E318" s="37"/>
      <c r="F318" s="39">
        <v>26345</v>
      </c>
      <c r="G318" s="39">
        <v>0</v>
      </c>
      <c r="H318" s="39">
        <v>0</v>
      </c>
      <c r="I318" s="47">
        <v>0</v>
      </c>
      <c r="J318" s="39">
        <v>6540</v>
      </c>
      <c r="K318" s="144" t="s">
        <v>1096</v>
      </c>
    </row>
    <row r="319" spans="1:12" s="3" customFormat="1" ht="15.75" thickBot="1">
      <c r="A319" s="9"/>
      <c r="B319" s="9"/>
      <c r="C319" s="9" t="s">
        <v>966</v>
      </c>
      <c r="D319" s="9"/>
      <c r="E319" s="9"/>
      <c r="F319" s="35">
        <f>SUM(F318)</f>
        <v>26345</v>
      </c>
      <c r="G319" s="35">
        <f t="shared" ref="G319:J319" si="65">SUM(G318)</f>
        <v>0</v>
      </c>
      <c r="H319" s="35">
        <f t="shared" si="65"/>
        <v>0</v>
      </c>
      <c r="I319" s="35">
        <f t="shared" si="65"/>
        <v>0</v>
      </c>
      <c r="J319" s="35">
        <f t="shared" si="65"/>
        <v>6540</v>
      </c>
      <c r="K319" s="109"/>
    </row>
    <row r="320" spans="1:12" ht="15.75" thickTop="1">
      <c r="A320" s="19"/>
      <c r="B320" s="19"/>
      <c r="C320" s="19"/>
      <c r="D320" s="19"/>
      <c r="E320" s="19"/>
      <c r="F320" s="20"/>
      <c r="G320" s="20"/>
      <c r="H320" s="20"/>
      <c r="J320" s="23"/>
      <c r="K320" s="114"/>
      <c r="L320"/>
    </row>
    <row r="321" spans="1:12" ht="15.75" thickBot="1">
      <c r="A321" s="19"/>
      <c r="B321" s="19"/>
      <c r="C321" s="9" t="s">
        <v>1036</v>
      </c>
      <c r="D321" s="19"/>
      <c r="E321" s="19"/>
      <c r="F321" s="34">
        <f>F282+F288+F300+F305+F311+F315+F319</f>
        <v>431977</v>
      </c>
      <c r="G321" s="34">
        <f t="shared" ref="G321:J321" si="66">G282+G288+G300+G305+G311+G315+G319</f>
        <v>0</v>
      </c>
      <c r="H321" s="34">
        <f>H282+H288+H300+H305+H311+H315+H319</f>
        <v>457424.58999999997</v>
      </c>
      <c r="I321" s="34">
        <f t="shared" si="66"/>
        <v>458518.76271409087</v>
      </c>
      <c r="J321" s="34">
        <f t="shared" si="66"/>
        <v>462832.5</v>
      </c>
      <c r="K321" s="114"/>
      <c r="L321"/>
    </row>
    <row r="322" spans="1:12" ht="15.75" thickTop="1">
      <c r="A322" s="19"/>
      <c r="B322" s="19"/>
      <c r="C322" s="9"/>
      <c r="D322" s="19"/>
      <c r="E322" s="19"/>
      <c r="F322" s="22"/>
      <c r="G322" s="22"/>
      <c r="H322" s="22"/>
      <c r="I322" s="22"/>
      <c r="J322" s="22"/>
      <c r="K322" s="146"/>
    </row>
    <row r="323" spans="1:12">
      <c r="A323" s="19"/>
      <c r="B323" s="19"/>
      <c r="C323" s="19"/>
      <c r="D323" s="19"/>
      <c r="E323" s="19"/>
      <c r="F323" s="20"/>
      <c r="G323" s="20"/>
      <c r="H323" s="20"/>
      <c r="J323" s="23"/>
      <c r="K323" s="148"/>
    </row>
    <row r="324" spans="1:12">
      <c r="A324" s="250" t="s">
        <v>1034</v>
      </c>
      <c r="B324" s="250"/>
      <c r="C324" s="250"/>
      <c r="D324" s="250"/>
      <c r="E324" s="250"/>
      <c r="F324" s="250"/>
      <c r="G324" s="250"/>
      <c r="H324" s="250"/>
      <c r="I324" s="250"/>
      <c r="J324" s="250"/>
      <c r="K324" s="250"/>
      <c r="L324"/>
    </row>
    <row r="325" spans="1:12">
      <c r="A325" s="19" t="s">
        <v>6</v>
      </c>
      <c r="B325" s="19"/>
      <c r="C325" s="19" t="s">
        <v>196</v>
      </c>
      <c r="D325" s="19"/>
      <c r="E325" s="19"/>
      <c r="F325" s="15" t="s">
        <v>6</v>
      </c>
      <c r="G325" s="15" t="s">
        <v>6</v>
      </c>
      <c r="H325" s="11" t="s">
        <v>6</v>
      </c>
      <c r="I325" s="30" t="s">
        <v>282</v>
      </c>
      <c r="J325" s="14" t="s">
        <v>6</v>
      </c>
      <c r="K325" s="148"/>
    </row>
    <row r="326" spans="1:12" s="4" customFormat="1">
      <c r="A326" s="37" t="s">
        <v>325</v>
      </c>
      <c r="B326" s="37"/>
      <c r="C326" s="37" t="s">
        <v>1006</v>
      </c>
      <c r="D326" s="37"/>
      <c r="E326" s="37"/>
      <c r="F326" s="140">
        <v>166580</v>
      </c>
      <c r="G326" s="140">
        <v>0</v>
      </c>
      <c r="H326" s="39">
        <v>169429.54</v>
      </c>
      <c r="I326" s="39">
        <v>172975.77</v>
      </c>
      <c r="J326" s="39">
        <v>190000</v>
      </c>
      <c r="K326" s="145"/>
    </row>
    <row r="327" spans="1:12" s="4" customFormat="1">
      <c r="A327" s="37" t="s">
        <v>326</v>
      </c>
      <c r="B327" s="37"/>
      <c r="C327" s="37" t="s">
        <v>1007</v>
      </c>
      <c r="D327" s="37"/>
      <c r="E327" s="37"/>
      <c r="F327" s="140">
        <v>30000</v>
      </c>
      <c r="G327" s="140">
        <v>0</v>
      </c>
      <c r="H327" s="39">
        <v>42611.86</v>
      </c>
      <c r="I327" s="39">
        <f t="shared" ref="I327" si="67">(H327/11)*12</f>
        <v>46485.665454545458</v>
      </c>
      <c r="J327" s="39">
        <v>35000</v>
      </c>
      <c r="K327" s="145"/>
    </row>
    <row r="328" spans="1:12" ht="15.75" thickBot="1">
      <c r="A328" s="19" t="s">
        <v>6</v>
      </c>
      <c r="B328" s="19"/>
      <c r="C328" s="19" t="s">
        <v>959</v>
      </c>
      <c r="D328" s="19"/>
      <c r="E328" s="19"/>
      <c r="F328" s="17">
        <f>SUM(F326:F327)</f>
        <v>196580</v>
      </c>
      <c r="G328" s="17">
        <f t="shared" ref="G328:J328" si="68">SUM(G326:G327)</f>
        <v>0</v>
      </c>
      <c r="H328" s="17">
        <f t="shared" si="68"/>
        <v>212041.40000000002</v>
      </c>
      <c r="I328" s="17">
        <f t="shared" si="68"/>
        <v>219461.43545454546</v>
      </c>
      <c r="J328" s="17">
        <f t="shared" si="68"/>
        <v>225000</v>
      </c>
      <c r="K328" s="114"/>
      <c r="L328"/>
    </row>
    <row r="329" spans="1:12" ht="15.75" thickTop="1">
      <c r="A329" s="19"/>
      <c r="B329" s="19"/>
      <c r="C329" s="19"/>
      <c r="D329" s="19"/>
      <c r="E329" s="19"/>
      <c r="F329" s="15"/>
      <c r="G329" s="15"/>
      <c r="H329" s="11"/>
      <c r="I329" s="30"/>
      <c r="J329" s="14"/>
      <c r="K329" s="148"/>
    </row>
    <row r="330" spans="1:12">
      <c r="A330" s="19" t="s">
        <v>6</v>
      </c>
      <c r="B330" s="19"/>
      <c r="C330" s="19" t="s">
        <v>197</v>
      </c>
      <c r="D330" s="19"/>
      <c r="E330" s="19"/>
      <c r="F330" s="15" t="s">
        <v>6</v>
      </c>
      <c r="G330" s="15" t="s">
        <v>6</v>
      </c>
      <c r="H330" s="11" t="s">
        <v>6</v>
      </c>
      <c r="I330" s="30" t="s">
        <v>6</v>
      </c>
      <c r="J330" s="14" t="s">
        <v>6</v>
      </c>
      <c r="K330" s="148"/>
    </row>
    <row r="331" spans="1:12" s="4" customFormat="1">
      <c r="A331" s="37" t="s">
        <v>327</v>
      </c>
      <c r="B331" s="37"/>
      <c r="C331" s="37" t="s">
        <v>293</v>
      </c>
      <c r="D331" s="37"/>
      <c r="E331" s="37"/>
      <c r="F331" s="140">
        <v>2850</v>
      </c>
      <c r="G331" s="140">
        <v>0</v>
      </c>
      <c r="H331" s="39">
        <v>3401.08</v>
      </c>
      <c r="I331" s="47">
        <f>I328*0.0145</f>
        <v>3182.190814090909</v>
      </c>
      <c r="J331" s="47">
        <f>J328*0.0145</f>
        <v>3262.5</v>
      </c>
      <c r="K331" s="145"/>
    </row>
    <row r="332" spans="1:12" s="4" customFormat="1">
      <c r="A332" s="37" t="s">
        <v>328</v>
      </c>
      <c r="B332" s="37"/>
      <c r="C332" s="37" t="s">
        <v>295</v>
      </c>
      <c r="D332" s="37"/>
      <c r="E332" s="37"/>
      <c r="F332" s="140">
        <v>15726</v>
      </c>
      <c r="G332" s="140">
        <v>0</v>
      </c>
      <c r="H332" s="39">
        <v>17964.8</v>
      </c>
      <c r="I332" s="39">
        <f t="shared" ref="I332" si="69">(H332/11)*12</f>
        <v>19597.963636363635</v>
      </c>
      <c r="J332" s="47">
        <f>J328*0.08</f>
        <v>18000</v>
      </c>
      <c r="K332" s="145"/>
    </row>
    <row r="333" spans="1:12" ht="15.75" thickBot="1">
      <c r="A333" s="19" t="s">
        <v>6</v>
      </c>
      <c r="B333" s="19"/>
      <c r="C333" s="19" t="s">
        <v>960</v>
      </c>
      <c r="D333" s="19"/>
      <c r="E333" s="19"/>
      <c r="F333" s="17">
        <f>SUM(F331:F332)</f>
        <v>18576</v>
      </c>
      <c r="G333" s="17">
        <f t="shared" ref="G333:J333" si="70">SUM(G331:G332)</f>
        <v>0</v>
      </c>
      <c r="H333" s="17">
        <f t="shared" si="70"/>
        <v>21365.879999999997</v>
      </c>
      <c r="I333" s="17">
        <f t="shared" si="70"/>
        <v>22780.154450454545</v>
      </c>
      <c r="J333" s="17">
        <f t="shared" si="70"/>
        <v>21262.5</v>
      </c>
      <c r="K333" s="114"/>
      <c r="L333"/>
    </row>
    <row r="334" spans="1:12" ht="15.75" thickTop="1">
      <c r="A334" s="19"/>
      <c r="B334" s="19"/>
      <c r="C334" s="19"/>
      <c r="D334" s="19"/>
      <c r="E334" s="19"/>
      <c r="F334" s="15"/>
      <c r="G334" s="15"/>
      <c r="H334" s="11"/>
      <c r="I334" s="30"/>
      <c r="J334" s="14"/>
      <c r="K334" s="114"/>
      <c r="L334"/>
    </row>
    <row r="335" spans="1:12" s="3" customFormat="1" ht="15.75" thickBot="1">
      <c r="A335" s="9"/>
      <c r="B335" s="9"/>
      <c r="C335" s="9" t="s">
        <v>953</v>
      </c>
      <c r="D335" s="9"/>
      <c r="E335" s="9"/>
      <c r="F335" s="119">
        <f>F328+F333</f>
        <v>215156</v>
      </c>
      <c r="G335" s="119">
        <f t="shared" ref="G335:J335" si="71">G328+G333</f>
        <v>0</v>
      </c>
      <c r="H335" s="119">
        <f t="shared" si="71"/>
        <v>233407.28000000003</v>
      </c>
      <c r="I335" s="119">
        <f t="shared" si="71"/>
        <v>242241.589905</v>
      </c>
      <c r="J335" s="119">
        <f t="shared" si="71"/>
        <v>246262.5</v>
      </c>
      <c r="K335" s="149"/>
    </row>
    <row r="336" spans="1:12" ht="15.75" thickTop="1">
      <c r="A336" s="19"/>
      <c r="B336" s="19"/>
      <c r="C336" s="19"/>
      <c r="D336" s="19"/>
      <c r="E336" s="19"/>
      <c r="F336" s="15"/>
      <c r="G336" s="15"/>
      <c r="H336" s="11"/>
      <c r="I336" s="11"/>
      <c r="J336" s="14"/>
      <c r="K336" s="148"/>
      <c r="L336" s="19"/>
    </row>
    <row r="337" spans="1:12">
      <c r="A337" s="19" t="s">
        <v>6</v>
      </c>
      <c r="B337" s="19"/>
      <c r="C337" s="19" t="s">
        <v>199</v>
      </c>
      <c r="D337" s="19"/>
      <c r="E337" s="19"/>
      <c r="F337" s="15" t="s">
        <v>6</v>
      </c>
      <c r="G337" s="15" t="s">
        <v>6</v>
      </c>
      <c r="H337" s="11" t="s">
        <v>6</v>
      </c>
      <c r="I337" s="11" t="s">
        <v>282</v>
      </c>
      <c r="J337" s="14" t="s">
        <v>6</v>
      </c>
      <c r="K337" s="148"/>
      <c r="L337" s="19"/>
    </row>
    <row r="338" spans="1:12" s="4" customFormat="1">
      <c r="A338" s="37" t="s">
        <v>329</v>
      </c>
      <c r="B338" s="37"/>
      <c r="C338" s="37" t="s">
        <v>330</v>
      </c>
      <c r="D338" s="37"/>
      <c r="E338" s="37"/>
      <c r="F338" s="140">
        <v>5000</v>
      </c>
      <c r="G338" s="140">
        <v>0</v>
      </c>
      <c r="H338" s="39">
        <v>3065.13</v>
      </c>
      <c r="I338" s="39">
        <f t="shared" ref="I338:I339" si="72">(H338/11)*12</f>
        <v>3343.778181818182</v>
      </c>
      <c r="J338" s="39">
        <v>5000</v>
      </c>
      <c r="K338" s="150"/>
    </row>
    <row r="339" spans="1:12">
      <c r="A339" s="19" t="s">
        <v>331</v>
      </c>
      <c r="B339" s="19"/>
      <c r="C339" s="19" t="s">
        <v>201</v>
      </c>
      <c r="D339" s="19"/>
      <c r="E339" s="19"/>
      <c r="F339" s="15">
        <v>1500</v>
      </c>
      <c r="G339" s="15">
        <v>0</v>
      </c>
      <c r="H339" s="11">
        <v>1630.75</v>
      </c>
      <c r="I339" s="39">
        <f t="shared" si="72"/>
        <v>1779</v>
      </c>
      <c r="J339" s="14">
        <v>1500</v>
      </c>
      <c r="K339" s="151"/>
      <c r="L339"/>
    </row>
    <row r="340" spans="1:12" s="3" customFormat="1" ht="15.75" thickBot="1">
      <c r="A340" s="9" t="s">
        <v>6</v>
      </c>
      <c r="B340" s="9"/>
      <c r="C340" s="9" t="s">
        <v>954</v>
      </c>
      <c r="D340" s="9"/>
      <c r="E340" s="9"/>
      <c r="F340" s="35">
        <f>SUM(F338:F339)</f>
        <v>6500</v>
      </c>
      <c r="G340" s="35">
        <f t="shared" ref="G340:J340" si="73">SUM(G338:G339)</f>
        <v>0</v>
      </c>
      <c r="H340" s="35">
        <f t="shared" si="73"/>
        <v>4695.88</v>
      </c>
      <c r="I340" s="35">
        <f t="shared" si="73"/>
        <v>5122.778181818182</v>
      </c>
      <c r="J340" s="35">
        <f t="shared" si="73"/>
        <v>6500</v>
      </c>
      <c r="K340" s="149"/>
    </row>
    <row r="341" spans="1:12" ht="15.75" thickTop="1">
      <c r="A341" s="19"/>
      <c r="B341" s="19"/>
      <c r="C341" s="19"/>
      <c r="D341" s="19"/>
      <c r="E341" s="19"/>
      <c r="F341" s="11"/>
      <c r="G341" s="11"/>
      <c r="H341" s="11"/>
      <c r="I341" s="11"/>
      <c r="J341" s="14"/>
      <c r="K341" s="148"/>
      <c r="L341" s="19"/>
    </row>
    <row r="342" spans="1:12">
      <c r="A342" s="19" t="s">
        <v>6</v>
      </c>
      <c r="B342" s="19"/>
      <c r="C342" s="19" t="s">
        <v>202</v>
      </c>
      <c r="D342" s="19"/>
      <c r="E342" s="19"/>
      <c r="F342" s="15" t="s">
        <v>6</v>
      </c>
      <c r="G342" s="15" t="s">
        <v>6</v>
      </c>
      <c r="H342" s="15" t="s">
        <v>6</v>
      </c>
      <c r="I342" s="15" t="s">
        <v>6</v>
      </c>
      <c r="J342" s="16" t="s">
        <v>6</v>
      </c>
      <c r="K342" s="152"/>
      <c r="L342" s="25"/>
    </row>
    <row r="343" spans="1:12" s="4" customFormat="1">
      <c r="A343" s="37" t="s">
        <v>332</v>
      </c>
      <c r="B343" s="37"/>
      <c r="C343" s="37" t="s">
        <v>243</v>
      </c>
      <c r="D343" s="37"/>
      <c r="E343" s="37"/>
      <c r="F343" s="140">
        <v>110</v>
      </c>
      <c r="G343" s="140">
        <v>0</v>
      </c>
      <c r="H343" s="140">
        <v>287</v>
      </c>
      <c r="I343" s="39">
        <f t="shared" ref="I343:I347" si="74">(H343/11)*12</f>
        <v>313.09090909090907</v>
      </c>
      <c r="J343" s="140">
        <v>200</v>
      </c>
      <c r="K343" s="150"/>
    </row>
    <row r="344" spans="1:12" s="4" customFormat="1">
      <c r="A344" s="37" t="s">
        <v>333</v>
      </c>
      <c r="B344" s="37"/>
      <c r="C344" s="37" t="s">
        <v>334</v>
      </c>
      <c r="D344" s="37"/>
      <c r="E344" s="37"/>
      <c r="F344" s="140">
        <v>10000</v>
      </c>
      <c r="G344" s="140">
        <v>0</v>
      </c>
      <c r="H344" s="140">
        <v>6548.6</v>
      </c>
      <c r="I344" s="39">
        <f t="shared" si="74"/>
        <v>7143.9272727272728</v>
      </c>
      <c r="J344" s="140">
        <v>10000</v>
      </c>
      <c r="K344" s="150" t="s">
        <v>28</v>
      </c>
    </row>
    <row r="345" spans="1:12">
      <c r="A345" s="19" t="s">
        <v>335</v>
      </c>
      <c r="B345" s="19"/>
      <c r="C345" s="19" t="s">
        <v>336</v>
      </c>
      <c r="D345" s="19"/>
      <c r="E345" s="19"/>
      <c r="F345" s="15">
        <v>2000</v>
      </c>
      <c r="G345" s="15">
        <v>0</v>
      </c>
      <c r="H345" s="15">
        <v>1096.44</v>
      </c>
      <c r="I345" s="39">
        <f t="shared" si="74"/>
        <v>1196.1163636363638</v>
      </c>
      <c r="J345" s="16">
        <v>2000</v>
      </c>
      <c r="K345" s="151"/>
      <c r="L345"/>
    </row>
    <row r="346" spans="1:12" s="4" customFormat="1">
      <c r="A346" s="37" t="s">
        <v>337</v>
      </c>
      <c r="B346" s="37"/>
      <c r="C346" s="37" t="s">
        <v>269</v>
      </c>
      <c r="D346" s="37"/>
      <c r="E346" s="37"/>
      <c r="F346" s="140">
        <v>750</v>
      </c>
      <c r="G346" s="140">
        <v>0</v>
      </c>
      <c r="H346" s="140">
        <v>1438.89</v>
      </c>
      <c r="I346" s="39">
        <f t="shared" si="74"/>
        <v>1569.6981818181819</v>
      </c>
      <c r="J346" s="140">
        <v>2290</v>
      </c>
      <c r="K346" s="150"/>
    </row>
    <row r="347" spans="1:12" s="4" customFormat="1">
      <c r="A347" s="37" t="s">
        <v>338</v>
      </c>
      <c r="B347" s="37"/>
      <c r="C347" s="37" t="s">
        <v>309</v>
      </c>
      <c r="D347" s="37"/>
      <c r="E347" s="37"/>
      <c r="F347" s="140">
        <v>5000</v>
      </c>
      <c r="G347" s="140">
        <v>0</v>
      </c>
      <c r="H347" s="140">
        <v>5019.28</v>
      </c>
      <c r="I347" s="39">
        <f t="shared" si="74"/>
        <v>5475.5781818181813</v>
      </c>
      <c r="J347" s="140">
        <v>5000</v>
      </c>
      <c r="K347" s="150" t="s">
        <v>914</v>
      </c>
    </row>
    <row r="348" spans="1:12" s="3" customFormat="1" ht="15.75" thickBot="1">
      <c r="A348" s="9" t="s">
        <v>6</v>
      </c>
      <c r="B348" s="9"/>
      <c r="C348" s="9" t="s">
        <v>955</v>
      </c>
      <c r="D348" s="9"/>
      <c r="E348" s="9"/>
      <c r="F348" s="119">
        <f>SUM(F343:F347)</f>
        <v>17860</v>
      </c>
      <c r="G348" s="119">
        <f t="shared" ref="G348:J348" si="75">SUM(G343:G347)</f>
        <v>0</v>
      </c>
      <c r="H348" s="119">
        <f t="shared" si="75"/>
        <v>14390.21</v>
      </c>
      <c r="I348" s="119">
        <f t="shared" si="75"/>
        <v>15698.410909090908</v>
      </c>
      <c r="J348" s="119">
        <f t="shared" si="75"/>
        <v>19490</v>
      </c>
      <c r="K348" s="149"/>
    </row>
    <row r="349" spans="1:12" ht="15.75" thickTop="1">
      <c r="A349" s="19"/>
      <c r="B349" s="19"/>
      <c r="C349" s="19"/>
      <c r="D349" s="19"/>
      <c r="E349" s="19"/>
      <c r="F349" s="15"/>
      <c r="G349" s="15"/>
      <c r="H349" s="15"/>
      <c r="I349" s="15"/>
      <c r="J349" s="16"/>
      <c r="K349" s="152"/>
      <c r="L349" s="19"/>
    </row>
    <row r="350" spans="1:12">
      <c r="A350" s="19" t="s">
        <v>6</v>
      </c>
      <c r="B350" s="19"/>
      <c r="C350" s="19" t="s">
        <v>204</v>
      </c>
      <c r="D350" s="19"/>
      <c r="E350" s="19"/>
      <c r="F350" s="15" t="s">
        <v>6</v>
      </c>
      <c r="G350" s="15" t="s">
        <v>6</v>
      </c>
      <c r="H350" s="15" t="s">
        <v>6</v>
      </c>
      <c r="I350" s="15" t="s">
        <v>6</v>
      </c>
      <c r="J350" s="16" t="s">
        <v>6</v>
      </c>
      <c r="K350" s="152"/>
      <c r="L350" s="19"/>
    </row>
    <row r="351" spans="1:12" s="4" customFormat="1">
      <c r="A351" s="37" t="s">
        <v>339</v>
      </c>
      <c r="B351" s="37"/>
      <c r="C351" s="37" t="s">
        <v>275</v>
      </c>
      <c r="D351" s="37"/>
      <c r="E351" s="37"/>
      <c r="F351" s="140">
        <v>750</v>
      </c>
      <c r="G351" s="140">
        <v>0</v>
      </c>
      <c r="H351" s="140">
        <v>3112.48</v>
      </c>
      <c r="I351" s="39">
        <f t="shared" ref="I351:I353" si="76">(H351/11)*12</f>
        <v>3395.4327272727269</v>
      </c>
      <c r="J351" s="140">
        <v>1000</v>
      </c>
      <c r="K351" s="150" t="s">
        <v>825</v>
      </c>
    </row>
    <row r="352" spans="1:12">
      <c r="A352" s="19" t="s">
        <v>340</v>
      </c>
      <c r="B352" s="19"/>
      <c r="C352" s="19" t="s">
        <v>279</v>
      </c>
      <c r="D352" s="19"/>
      <c r="E352" s="19"/>
      <c r="F352" s="15">
        <v>3000</v>
      </c>
      <c r="G352" s="15">
        <v>0</v>
      </c>
      <c r="H352" s="15">
        <v>2680.35</v>
      </c>
      <c r="I352" s="39">
        <f t="shared" si="76"/>
        <v>2924.0181818181818</v>
      </c>
      <c r="J352" s="16">
        <v>3000</v>
      </c>
      <c r="K352" s="151"/>
      <c r="L352"/>
    </row>
    <row r="353" spans="1:12" ht="26.25">
      <c r="A353" s="19" t="s">
        <v>341</v>
      </c>
      <c r="B353" s="19"/>
      <c r="C353" s="19" t="s">
        <v>342</v>
      </c>
      <c r="D353" s="19"/>
      <c r="E353" s="19"/>
      <c r="F353" s="15">
        <v>1000</v>
      </c>
      <c r="G353" s="15">
        <v>0</v>
      </c>
      <c r="H353" s="15">
        <v>586.97</v>
      </c>
      <c r="I353" s="39">
        <f t="shared" si="76"/>
        <v>640.33090909090913</v>
      </c>
      <c r="J353" s="16">
        <v>1000</v>
      </c>
      <c r="K353" s="171" t="s">
        <v>788</v>
      </c>
      <c r="L353"/>
    </row>
    <row r="354" spans="1:12" s="3" customFormat="1" ht="15.75" thickBot="1">
      <c r="A354" s="9"/>
      <c r="B354" s="9"/>
      <c r="C354" s="9" t="s">
        <v>956</v>
      </c>
      <c r="D354" s="9"/>
      <c r="E354" s="9"/>
      <c r="F354" s="119">
        <f>SUM(F351:F353)</f>
        <v>4750</v>
      </c>
      <c r="G354" s="119">
        <f t="shared" ref="G354:J354" si="77">SUM(G351:G353)</f>
        <v>0</v>
      </c>
      <c r="H354" s="119">
        <f t="shared" si="77"/>
        <v>6379.8</v>
      </c>
      <c r="I354" s="119">
        <f t="shared" si="77"/>
        <v>6959.7818181818175</v>
      </c>
      <c r="J354" s="119">
        <f t="shared" si="77"/>
        <v>5000</v>
      </c>
      <c r="K354" s="149"/>
    </row>
    <row r="355" spans="1:12" ht="15.75" thickTop="1">
      <c r="A355" s="19"/>
      <c r="B355" s="19"/>
      <c r="C355" s="19"/>
      <c r="D355" s="19"/>
      <c r="E355" s="19"/>
      <c r="F355" s="10"/>
      <c r="G355" s="10"/>
      <c r="H355" s="27"/>
      <c r="I355" s="27"/>
      <c r="J355" s="24"/>
      <c r="K355" s="148"/>
      <c r="L355" s="26"/>
    </row>
    <row r="356" spans="1:12">
      <c r="A356" s="19" t="s">
        <v>6</v>
      </c>
      <c r="B356" s="19"/>
      <c r="C356" s="19" t="s">
        <v>217</v>
      </c>
      <c r="D356" s="19"/>
      <c r="E356" s="19"/>
      <c r="F356" s="15" t="s">
        <v>6</v>
      </c>
      <c r="G356" s="15" t="s">
        <v>6</v>
      </c>
      <c r="H356" s="15" t="s">
        <v>6</v>
      </c>
      <c r="I356" s="15" t="s">
        <v>6</v>
      </c>
      <c r="J356" s="16" t="s">
        <v>6</v>
      </c>
      <c r="K356" s="152"/>
      <c r="L356" s="19"/>
    </row>
    <row r="357" spans="1:12">
      <c r="A357" s="19" t="s">
        <v>343</v>
      </c>
      <c r="B357" s="19"/>
      <c r="C357" s="19" t="s">
        <v>344</v>
      </c>
      <c r="D357" s="19"/>
      <c r="E357" s="19"/>
      <c r="F357" s="15">
        <v>1200</v>
      </c>
      <c r="G357" s="15">
        <v>0</v>
      </c>
      <c r="H357" s="15">
        <v>907.78</v>
      </c>
      <c r="I357" s="39">
        <f t="shared" ref="I357" si="78">(H357/11)*12</f>
        <v>990.3054545454545</v>
      </c>
      <c r="J357" s="16">
        <v>1000</v>
      </c>
      <c r="K357" s="151"/>
      <c r="L357"/>
    </row>
    <row r="358" spans="1:12">
      <c r="A358" s="19" t="s">
        <v>787</v>
      </c>
      <c r="B358" s="19"/>
      <c r="C358" s="19" t="s">
        <v>319</v>
      </c>
      <c r="D358" s="19"/>
      <c r="E358" s="19"/>
      <c r="F358" s="15">
        <v>3000</v>
      </c>
      <c r="G358" s="15">
        <v>0</v>
      </c>
      <c r="H358" s="15">
        <v>2598</v>
      </c>
      <c r="I358" s="39">
        <v>2598</v>
      </c>
      <c r="J358" s="16">
        <v>3000</v>
      </c>
      <c r="K358" s="151"/>
      <c r="L358"/>
    </row>
    <row r="359" spans="1:12" s="4" customFormat="1">
      <c r="A359" s="37" t="s">
        <v>345</v>
      </c>
      <c r="B359" s="37"/>
      <c r="C359" s="37" t="s">
        <v>346</v>
      </c>
      <c r="D359" s="37"/>
      <c r="E359" s="37"/>
      <c r="F359" s="140">
        <v>5000</v>
      </c>
      <c r="G359" s="140">
        <v>0</v>
      </c>
      <c r="H359" s="140">
        <v>1010.96</v>
      </c>
      <c r="I359" s="39">
        <f t="shared" ref="I359" si="79">(H359/11)*12</f>
        <v>1102.8654545454547</v>
      </c>
      <c r="J359" s="140">
        <v>2000</v>
      </c>
      <c r="K359" s="150"/>
    </row>
    <row r="360" spans="1:12" s="3" customFormat="1" ht="15.75" thickBot="1">
      <c r="A360" s="9"/>
      <c r="B360" s="9"/>
      <c r="C360" s="9" t="s">
        <v>961</v>
      </c>
      <c r="D360" s="9"/>
      <c r="E360" s="9"/>
      <c r="F360" s="119">
        <f>SUM(F357:F359)</f>
        <v>9200</v>
      </c>
      <c r="G360" s="119">
        <f t="shared" ref="G360:J360" si="80">SUM(G357:G359)</f>
        <v>0</v>
      </c>
      <c r="H360" s="119">
        <f t="shared" si="80"/>
        <v>4516.74</v>
      </c>
      <c r="I360" s="119">
        <f t="shared" si="80"/>
        <v>4691.1709090909089</v>
      </c>
      <c r="J360" s="119">
        <f t="shared" si="80"/>
        <v>6000</v>
      </c>
      <c r="K360" s="149"/>
    </row>
    <row r="361" spans="1:12" ht="15.75" thickTop="1">
      <c r="A361" s="19"/>
      <c r="B361" s="19"/>
      <c r="C361" s="19"/>
      <c r="D361" s="19"/>
      <c r="E361" s="19"/>
      <c r="F361" s="20"/>
      <c r="G361" s="20"/>
      <c r="H361" s="20"/>
      <c r="I361" s="27"/>
      <c r="J361" s="23"/>
      <c r="K361" s="148"/>
      <c r="L361" s="19"/>
    </row>
    <row r="362" spans="1:12">
      <c r="A362" s="19" t="s">
        <v>6</v>
      </c>
      <c r="B362" s="19"/>
      <c r="C362" s="19" t="s">
        <v>24</v>
      </c>
      <c r="D362" s="19"/>
      <c r="E362" s="19"/>
      <c r="F362" s="15" t="s">
        <v>6</v>
      </c>
      <c r="G362" s="15" t="s">
        <v>6</v>
      </c>
      <c r="H362" s="15" t="s">
        <v>6</v>
      </c>
      <c r="I362" s="15" t="s">
        <v>6</v>
      </c>
      <c r="J362" s="16" t="s">
        <v>6</v>
      </c>
      <c r="K362" s="152"/>
      <c r="L362" s="19"/>
    </row>
    <row r="363" spans="1:12" s="4" customFormat="1">
      <c r="A363" s="37" t="s">
        <v>517</v>
      </c>
      <c r="B363" s="37"/>
      <c r="C363" s="37" t="s">
        <v>324</v>
      </c>
      <c r="D363" s="37"/>
      <c r="E363" s="37"/>
      <c r="F363" s="140">
        <v>5000</v>
      </c>
      <c r="G363" s="140">
        <v>0</v>
      </c>
      <c r="H363" s="140">
        <v>0</v>
      </c>
      <c r="I363" s="140">
        <v>0</v>
      </c>
      <c r="J363" s="140">
        <v>0</v>
      </c>
      <c r="K363" s="150"/>
    </row>
    <row r="364" spans="1:12" s="4" customFormat="1">
      <c r="A364" s="37" t="s">
        <v>814</v>
      </c>
      <c r="B364" s="37"/>
      <c r="C364" s="37" t="s">
        <v>815</v>
      </c>
      <c r="D364" s="37"/>
      <c r="E364" s="37"/>
      <c r="F364" s="140">
        <v>35000</v>
      </c>
      <c r="G364" s="140">
        <v>0</v>
      </c>
      <c r="H364" s="140">
        <v>3082</v>
      </c>
      <c r="I364" s="140">
        <v>35000</v>
      </c>
      <c r="J364" s="140">
        <v>0</v>
      </c>
      <c r="K364" s="150"/>
      <c r="L364" s="140"/>
    </row>
    <row r="365" spans="1:12" s="3" customFormat="1" ht="15.75" thickBot="1">
      <c r="A365" s="9"/>
      <c r="B365" s="9"/>
      <c r="C365" s="9" t="s">
        <v>967</v>
      </c>
      <c r="D365" s="9"/>
      <c r="E365" s="9"/>
      <c r="F365" s="119">
        <f>SUM(F363:F364)</f>
        <v>40000</v>
      </c>
      <c r="G365" s="119">
        <f t="shared" ref="G365:J365" si="81">SUM(G363:G364)</f>
        <v>0</v>
      </c>
      <c r="H365" s="119">
        <f t="shared" si="81"/>
        <v>3082</v>
      </c>
      <c r="I365" s="119">
        <f t="shared" si="81"/>
        <v>35000</v>
      </c>
      <c r="J365" s="119">
        <f t="shared" si="81"/>
        <v>0</v>
      </c>
      <c r="K365" s="149"/>
    </row>
    <row r="366" spans="1:12" ht="15.75" thickTop="1">
      <c r="A366" s="19"/>
      <c r="B366" s="19"/>
      <c r="C366" s="19"/>
      <c r="D366" s="19"/>
      <c r="E366" s="19"/>
      <c r="F366" s="20"/>
      <c r="G366" s="20"/>
      <c r="H366" s="20"/>
      <c r="I366" s="20"/>
      <c r="J366" s="23"/>
      <c r="K366" s="148"/>
      <c r="L366" s="19"/>
    </row>
    <row r="367" spans="1:12">
      <c r="A367" s="19"/>
      <c r="B367" s="19"/>
      <c r="C367" s="19" t="s">
        <v>30</v>
      </c>
      <c r="D367" s="19"/>
      <c r="E367" s="19"/>
      <c r="F367" s="20"/>
      <c r="G367" s="20"/>
      <c r="H367" s="20"/>
      <c r="J367" s="23"/>
      <c r="K367" s="114"/>
      <c r="L367"/>
    </row>
    <row r="368" spans="1:12" s="4" customFormat="1">
      <c r="A368" s="37" t="s">
        <v>842</v>
      </c>
      <c r="B368" s="37"/>
      <c r="C368" s="37" t="s">
        <v>841</v>
      </c>
      <c r="D368" s="37"/>
      <c r="E368" s="37"/>
      <c r="F368" s="39">
        <v>0</v>
      </c>
      <c r="G368" s="39">
        <v>0</v>
      </c>
      <c r="H368" s="39">
        <v>0</v>
      </c>
      <c r="I368" s="47">
        <v>0</v>
      </c>
      <c r="J368" s="39">
        <v>0</v>
      </c>
      <c r="K368" s="145"/>
    </row>
    <row r="369" spans="1:12" s="3" customFormat="1" ht="15.75" thickBot="1">
      <c r="A369" s="9"/>
      <c r="B369" s="9"/>
      <c r="C369" s="9" t="s">
        <v>974</v>
      </c>
      <c r="D369" s="9"/>
      <c r="E369" s="9"/>
      <c r="F369" s="35">
        <f>SUM(F368)</f>
        <v>0</v>
      </c>
      <c r="G369" s="35">
        <f t="shared" ref="G369:J369" si="82">SUM(G368)</f>
        <v>0</v>
      </c>
      <c r="H369" s="35">
        <f t="shared" si="82"/>
        <v>0</v>
      </c>
      <c r="I369" s="35">
        <f t="shared" si="82"/>
        <v>0</v>
      </c>
      <c r="J369" s="35">
        <f t="shared" si="82"/>
        <v>0</v>
      </c>
      <c r="K369" s="109"/>
    </row>
    <row r="370" spans="1:12" ht="15.75" thickTop="1">
      <c r="A370" s="19"/>
      <c r="B370" s="19"/>
      <c r="C370" s="19"/>
      <c r="D370" s="19"/>
      <c r="E370" s="19"/>
      <c r="F370" s="20"/>
      <c r="G370" s="20"/>
      <c r="H370" s="20"/>
      <c r="J370" s="23"/>
      <c r="K370" s="114"/>
      <c r="L370"/>
    </row>
    <row r="371" spans="1:12" ht="15.75" thickBot="1">
      <c r="A371" s="19"/>
      <c r="B371" s="19"/>
      <c r="C371" s="9" t="s">
        <v>1050</v>
      </c>
      <c r="D371" s="9"/>
      <c r="E371" s="9"/>
      <c r="F371" s="34">
        <f>F335+F340+F348+F354+F360+F365+F369</f>
        <v>293466</v>
      </c>
      <c r="G371" s="34">
        <f t="shared" ref="G371:J371" si="83">G335+G340+G348+G354+G360+G365+G369</f>
        <v>0</v>
      </c>
      <c r="H371" s="34">
        <f t="shared" si="83"/>
        <v>266471.91000000003</v>
      </c>
      <c r="I371" s="34">
        <f t="shared" si="83"/>
        <v>309713.73172318179</v>
      </c>
      <c r="J371" s="34">
        <f t="shared" si="83"/>
        <v>283252.5</v>
      </c>
      <c r="K371" s="151"/>
      <c r="L371"/>
    </row>
    <row r="372" spans="1:12" ht="15.75" thickTop="1">
      <c r="A372" s="19"/>
      <c r="B372" s="19"/>
      <c r="C372" s="19"/>
      <c r="D372" s="19"/>
      <c r="E372" s="19"/>
      <c r="F372" s="20"/>
      <c r="G372" s="20"/>
      <c r="H372" s="20"/>
      <c r="I372" s="20"/>
      <c r="J372" s="23"/>
      <c r="K372" s="148"/>
      <c r="L372" s="19"/>
    </row>
    <row r="373" spans="1:12">
      <c r="A373" s="19"/>
      <c r="B373" s="19"/>
      <c r="C373" s="19"/>
      <c r="D373" s="19"/>
      <c r="E373" s="19"/>
      <c r="F373" s="20"/>
      <c r="G373" s="20"/>
      <c r="H373" s="20"/>
      <c r="I373" s="20"/>
      <c r="J373" s="23"/>
      <c r="K373" s="148"/>
      <c r="L373" s="19"/>
    </row>
    <row r="374" spans="1:12">
      <c r="A374" s="250" t="s">
        <v>836</v>
      </c>
      <c r="B374" s="250"/>
      <c r="C374" s="250"/>
      <c r="D374" s="250"/>
      <c r="E374" s="250"/>
      <c r="F374" s="250"/>
      <c r="G374" s="250"/>
      <c r="H374" s="250"/>
      <c r="I374" s="250"/>
      <c r="J374" s="250"/>
      <c r="K374" s="250"/>
      <c r="L374"/>
    </row>
    <row r="375" spans="1:12">
      <c r="A375" s="19" t="s">
        <v>6</v>
      </c>
      <c r="B375" s="19"/>
      <c r="C375" s="19" t="s">
        <v>196</v>
      </c>
      <c r="D375" s="19"/>
      <c r="E375" s="19"/>
      <c r="F375" s="11" t="s">
        <v>6</v>
      </c>
      <c r="G375" s="11" t="s">
        <v>6</v>
      </c>
      <c r="H375" s="11" t="s">
        <v>6</v>
      </c>
      <c r="I375" s="11" t="s">
        <v>6</v>
      </c>
      <c r="J375" s="14" t="s">
        <v>6</v>
      </c>
      <c r="K375" s="148"/>
      <c r="L375" s="19"/>
    </row>
    <row r="376" spans="1:12" s="4" customFormat="1">
      <c r="A376" s="37" t="s">
        <v>347</v>
      </c>
      <c r="B376" s="37"/>
      <c r="C376" s="37" t="s">
        <v>1008</v>
      </c>
      <c r="D376" s="37"/>
      <c r="E376" s="37"/>
      <c r="F376" s="39">
        <v>102900</v>
      </c>
      <c r="G376" s="39">
        <v>0</v>
      </c>
      <c r="H376" s="39">
        <v>133553.85</v>
      </c>
      <c r="I376" s="39">
        <v>129983.35</v>
      </c>
      <c r="J376" s="39">
        <v>135000</v>
      </c>
      <c r="K376" s="150"/>
    </row>
    <row r="377" spans="1:12" s="4" customFormat="1">
      <c r="A377" s="37" t="s">
        <v>348</v>
      </c>
      <c r="B377" s="37"/>
      <c r="C377" s="37" t="s">
        <v>1009</v>
      </c>
      <c r="D377" s="37"/>
      <c r="E377" s="37"/>
      <c r="F377" s="39">
        <v>8000</v>
      </c>
      <c r="G377" s="39">
        <v>0</v>
      </c>
      <c r="H377" s="39">
        <v>30264.1</v>
      </c>
      <c r="I377" s="39">
        <f t="shared" ref="I377" si="84">(H377/11)*12</f>
        <v>33015.381818181813</v>
      </c>
      <c r="J377" s="39">
        <v>20000</v>
      </c>
      <c r="K377" s="150"/>
    </row>
    <row r="378" spans="1:12" ht="15.75" thickBot="1">
      <c r="A378" s="19" t="s">
        <v>6</v>
      </c>
      <c r="B378" s="19"/>
      <c r="C378" s="19" t="s">
        <v>964</v>
      </c>
      <c r="D378" s="19"/>
      <c r="E378" s="19"/>
      <c r="F378" s="12">
        <f>SUM(F376:F377)</f>
        <v>110900</v>
      </c>
      <c r="G378" s="12">
        <f t="shared" ref="G378:J378" si="85">SUM(G376:G377)</f>
        <v>0</v>
      </c>
      <c r="H378" s="12">
        <f t="shared" si="85"/>
        <v>163817.95000000001</v>
      </c>
      <c r="I378" s="12">
        <f t="shared" si="85"/>
        <v>162998.73181818181</v>
      </c>
      <c r="J378" s="12">
        <f t="shared" si="85"/>
        <v>155000</v>
      </c>
      <c r="K378" s="151"/>
      <c r="L378"/>
    </row>
    <row r="379" spans="1:12" ht="15.75" thickTop="1">
      <c r="A379" s="19" t="s">
        <v>6</v>
      </c>
      <c r="B379" s="19"/>
      <c r="C379" s="19" t="s">
        <v>6</v>
      </c>
      <c r="D379" s="19" t="s">
        <v>6</v>
      </c>
      <c r="E379" s="19" t="s">
        <v>6</v>
      </c>
      <c r="F379" s="11" t="s">
        <v>6</v>
      </c>
      <c r="G379" s="11" t="s">
        <v>6</v>
      </c>
      <c r="H379" s="11" t="s">
        <v>6</v>
      </c>
      <c r="I379" s="11" t="s">
        <v>6</v>
      </c>
      <c r="J379" s="14" t="s">
        <v>6</v>
      </c>
      <c r="K379" s="148"/>
      <c r="L379" s="19"/>
    </row>
    <row r="380" spans="1:12">
      <c r="A380" s="19" t="s">
        <v>6</v>
      </c>
      <c r="B380" s="19"/>
      <c r="C380" s="19" t="s">
        <v>197</v>
      </c>
      <c r="D380" s="19"/>
      <c r="E380" s="19"/>
      <c r="F380" s="11" t="s">
        <v>6</v>
      </c>
      <c r="G380" s="11" t="s">
        <v>6</v>
      </c>
      <c r="H380" s="11" t="s">
        <v>6</v>
      </c>
      <c r="I380" s="11" t="s">
        <v>6</v>
      </c>
      <c r="J380" s="14" t="s">
        <v>6</v>
      </c>
      <c r="K380" s="148"/>
      <c r="L380" s="19"/>
    </row>
    <row r="381" spans="1:12" s="4" customFormat="1">
      <c r="A381" s="37" t="s">
        <v>349</v>
      </c>
      <c r="B381" s="37"/>
      <c r="C381" s="37" t="s">
        <v>207</v>
      </c>
      <c r="D381" s="37"/>
      <c r="E381" s="37"/>
      <c r="F381" s="39">
        <v>8484</v>
      </c>
      <c r="G381" s="39">
        <v>0</v>
      </c>
      <c r="H381" s="39">
        <v>12532.06</v>
      </c>
      <c r="I381" s="39">
        <f>I378*0.0765</f>
        <v>12469.402984090908</v>
      </c>
      <c r="J381" s="39">
        <f>J378*0.0765</f>
        <v>11857.5</v>
      </c>
      <c r="K381" s="150"/>
    </row>
    <row r="382" spans="1:12" ht="15.75" thickBot="1">
      <c r="A382" s="19"/>
      <c r="B382" s="19"/>
      <c r="C382" s="19" t="s">
        <v>968</v>
      </c>
      <c r="D382" s="19"/>
      <c r="E382" s="19"/>
      <c r="F382" s="12">
        <f>SUM(F381)</f>
        <v>8484</v>
      </c>
      <c r="G382" s="12">
        <f t="shared" ref="G382:J382" si="86">SUM(G381)</f>
        <v>0</v>
      </c>
      <c r="H382" s="12">
        <f t="shared" si="86"/>
        <v>12532.06</v>
      </c>
      <c r="I382" s="12">
        <f t="shared" si="86"/>
        <v>12469.402984090908</v>
      </c>
      <c r="J382" s="12">
        <f t="shared" si="86"/>
        <v>11857.5</v>
      </c>
      <c r="K382" s="151"/>
      <c r="L382"/>
    </row>
    <row r="383" spans="1:12" ht="15.75" thickTop="1">
      <c r="A383" s="19"/>
      <c r="B383" s="19"/>
      <c r="C383" s="19"/>
      <c r="D383" s="19"/>
      <c r="E383" s="19"/>
      <c r="F383" s="20"/>
      <c r="G383" s="20"/>
      <c r="H383" s="20"/>
      <c r="I383" s="20"/>
      <c r="J383" s="23"/>
      <c r="K383" s="151"/>
      <c r="L383"/>
    </row>
    <row r="384" spans="1:12" s="3" customFormat="1" ht="15.75" thickBot="1">
      <c r="A384" s="9"/>
      <c r="B384" s="9"/>
      <c r="C384" s="9" t="s">
        <v>969</v>
      </c>
      <c r="D384" s="9"/>
      <c r="E384" s="9"/>
      <c r="F384" s="34">
        <f>F378+F382</f>
        <v>119384</v>
      </c>
      <c r="G384" s="34">
        <f t="shared" ref="G384:J384" si="87">G378+G382</f>
        <v>0</v>
      </c>
      <c r="H384" s="34">
        <f t="shared" si="87"/>
        <v>176350.01</v>
      </c>
      <c r="I384" s="34">
        <f t="shared" si="87"/>
        <v>175468.13480227272</v>
      </c>
      <c r="J384" s="34">
        <f t="shared" si="87"/>
        <v>166857.5</v>
      </c>
      <c r="K384" s="149"/>
    </row>
    <row r="385" spans="1:12" ht="15.75" thickTop="1">
      <c r="A385" s="19"/>
      <c r="B385" s="19"/>
      <c r="C385" s="19"/>
      <c r="D385" s="19"/>
      <c r="E385" s="19"/>
      <c r="F385" s="20"/>
      <c r="G385" s="20"/>
      <c r="H385" s="20"/>
      <c r="I385" s="20"/>
      <c r="J385" s="23"/>
      <c r="K385" s="148"/>
      <c r="L385" s="19"/>
    </row>
    <row r="386" spans="1:12">
      <c r="A386" s="19" t="s">
        <v>6</v>
      </c>
      <c r="B386" s="19"/>
      <c r="C386" s="19" t="s">
        <v>199</v>
      </c>
      <c r="D386" s="19"/>
      <c r="E386" s="19"/>
      <c r="F386" s="15" t="s">
        <v>6</v>
      </c>
      <c r="G386" s="15" t="s">
        <v>6</v>
      </c>
      <c r="H386" s="11" t="s">
        <v>6</v>
      </c>
      <c r="I386" s="11" t="s">
        <v>6</v>
      </c>
      <c r="J386" s="14" t="s">
        <v>6</v>
      </c>
      <c r="K386" s="148"/>
      <c r="L386" s="19"/>
    </row>
    <row r="387" spans="1:12">
      <c r="A387" s="19" t="s">
        <v>350</v>
      </c>
      <c r="B387" s="19"/>
      <c r="C387" s="19" t="s">
        <v>330</v>
      </c>
      <c r="D387" s="19"/>
      <c r="E387" s="19"/>
      <c r="F387" s="15">
        <v>2000</v>
      </c>
      <c r="G387" s="15">
        <v>0</v>
      </c>
      <c r="H387" s="11">
        <v>1774.92</v>
      </c>
      <c r="I387" s="39">
        <f t="shared" ref="I387:I388" si="88">(H387/11)*12</f>
        <v>1936.2763636363638</v>
      </c>
      <c r="J387" s="14">
        <v>2000</v>
      </c>
      <c r="K387" s="151"/>
      <c r="L387"/>
    </row>
    <row r="388" spans="1:12">
      <c r="A388" s="19" t="s">
        <v>789</v>
      </c>
      <c r="B388" s="19"/>
      <c r="C388" s="19" t="s">
        <v>201</v>
      </c>
      <c r="D388" s="19"/>
      <c r="E388" s="19"/>
      <c r="F388" s="15">
        <v>500</v>
      </c>
      <c r="G388" s="15">
        <v>0</v>
      </c>
      <c r="H388" s="11">
        <v>68.739999999999995</v>
      </c>
      <c r="I388" s="39">
        <f t="shared" si="88"/>
        <v>74.989090909090905</v>
      </c>
      <c r="J388" s="14">
        <v>500</v>
      </c>
      <c r="K388" s="151"/>
      <c r="L388"/>
    </row>
    <row r="389" spans="1:12" s="3" customFormat="1" ht="15.75" thickBot="1">
      <c r="A389" s="9" t="s">
        <v>6</v>
      </c>
      <c r="B389" s="9"/>
      <c r="C389" s="9" t="s">
        <v>970</v>
      </c>
      <c r="D389" s="9"/>
      <c r="E389" s="9"/>
      <c r="F389" s="119">
        <f>SUM(F387:F388)</f>
        <v>2500</v>
      </c>
      <c r="G389" s="119">
        <f t="shared" ref="G389:J389" si="89">SUM(G387:G388)</f>
        <v>0</v>
      </c>
      <c r="H389" s="119">
        <f t="shared" si="89"/>
        <v>1843.66</v>
      </c>
      <c r="I389" s="119">
        <f t="shared" si="89"/>
        <v>2011.2654545454548</v>
      </c>
      <c r="J389" s="119">
        <f t="shared" si="89"/>
        <v>2500</v>
      </c>
      <c r="K389" s="149"/>
    </row>
    <row r="390" spans="1:12" ht="15.75" thickTop="1">
      <c r="A390" s="19"/>
      <c r="B390" s="19"/>
      <c r="C390" s="19"/>
      <c r="D390" s="19"/>
      <c r="E390" s="19"/>
      <c r="F390" s="15"/>
      <c r="G390" s="15"/>
      <c r="H390" s="11"/>
      <c r="I390" s="11"/>
      <c r="J390" s="14"/>
      <c r="K390" s="148"/>
    </row>
    <row r="391" spans="1:12">
      <c r="A391" s="19" t="s">
        <v>6</v>
      </c>
      <c r="B391" s="19"/>
      <c r="C391" s="19" t="s">
        <v>202</v>
      </c>
      <c r="D391" s="19"/>
      <c r="E391" s="19"/>
      <c r="F391" s="15" t="s">
        <v>6</v>
      </c>
      <c r="G391" s="15" t="s">
        <v>6</v>
      </c>
      <c r="H391" s="11" t="s">
        <v>6</v>
      </c>
      <c r="I391" s="11" t="s">
        <v>6</v>
      </c>
      <c r="J391" s="14" t="s">
        <v>6</v>
      </c>
      <c r="K391" s="148"/>
    </row>
    <row r="392" spans="1:12" s="4" customFormat="1">
      <c r="A392" s="37" t="s">
        <v>351</v>
      </c>
      <c r="B392" s="37"/>
      <c r="C392" s="37" t="s">
        <v>269</v>
      </c>
      <c r="D392" s="37"/>
      <c r="E392" s="37"/>
      <c r="F392" s="140">
        <v>660</v>
      </c>
      <c r="G392" s="140">
        <v>0</v>
      </c>
      <c r="H392" s="39">
        <v>1456.72</v>
      </c>
      <c r="I392" s="39">
        <f t="shared" ref="I392:I394" si="90">(H392/11)*12</f>
        <v>1589.149090909091</v>
      </c>
      <c r="J392" s="39">
        <v>2290</v>
      </c>
      <c r="K392" s="145"/>
    </row>
    <row r="393" spans="1:12" s="4" customFormat="1">
      <c r="A393" s="37" t="s">
        <v>352</v>
      </c>
      <c r="B393" s="37"/>
      <c r="C393" s="37" t="s">
        <v>309</v>
      </c>
      <c r="D393" s="37"/>
      <c r="E393" s="37"/>
      <c r="F393" s="140">
        <v>13000</v>
      </c>
      <c r="G393" s="140">
        <v>0</v>
      </c>
      <c r="H393" s="39">
        <v>4375.08</v>
      </c>
      <c r="I393" s="39">
        <f t="shared" si="90"/>
        <v>4772.8145454545456</v>
      </c>
      <c r="J393" s="39">
        <v>5000</v>
      </c>
      <c r="K393" s="145"/>
    </row>
    <row r="394" spans="1:12" s="4" customFormat="1">
      <c r="A394" s="37" t="s">
        <v>790</v>
      </c>
      <c r="B394" s="37"/>
      <c r="C394" s="37" t="s">
        <v>313</v>
      </c>
      <c r="D394" s="37"/>
      <c r="E394" s="37"/>
      <c r="F394" s="140">
        <v>1000</v>
      </c>
      <c r="G394" s="140">
        <v>0</v>
      </c>
      <c r="H394" s="39">
        <v>1052</v>
      </c>
      <c r="I394" s="39">
        <f t="shared" si="90"/>
        <v>1147.6363636363637</v>
      </c>
      <c r="J394" s="39">
        <v>1000</v>
      </c>
      <c r="K394" s="145"/>
    </row>
    <row r="395" spans="1:12" s="3" customFormat="1" ht="15.75" thickBot="1">
      <c r="A395" s="9" t="s">
        <v>6</v>
      </c>
      <c r="B395" s="9"/>
      <c r="C395" s="9" t="s">
        <v>971</v>
      </c>
      <c r="D395" s="9"/>
      <c r="E395" s="9"/>
      <c r="F395" s="119">
        <f>SUM(F392:F394)</f>
        <v>14660</v>
      </c>
      <c r="G395" s="119">
        <f t="shared" ref="G395:J395" si="91">SUM(G392:G394)</f>
        <v>0</v>
      </c>
      <c r="H395" s="119">
        <f t="shared" si="91"/>
        <v>6883.8</v>
      </c>
      <c r="I395" s="119">
        <f t="shared" si="91"/>
        <v>7509.6</v>
      </c>
      <c r="J395" s="119">
        <f t="shared" si="91"/>
        <v>8290</v>
      </c>
      <c r="K395" s="109"/>
    </row>
    <row r="396" spans="1:12" ht="15.75" thickTop="1">
      <c r="A396" s="19"/>
      <c r="B396" s="19"/>
      <c r="C396" s="19"/>
      <c r="D396" s="19"/>
      <c r="E396" s="19"/>
      <c r="F396" s="13"/>
      <c r="G396" s="13"/>
      <c r="H396" s="13"/>
      <c r="I396" s="13"/>
      <c r="J396" s="13"/>
      <c r="K396" s="146"/>
    </row>
    <row r="397" spans="1:12">
      <c r="A397" s="19" t="s">
        <v>6</v>
      </c>
      <c r="B397" s="19"/>
      <c r="C397" s="19" t="s">
        <v>204</v>
      </c>
      <c r="D397" s="19"/>
      <c r="E397" s="19"/>
      <c r="F397" s="11" t="s">
        <v>6</v>
      </c>
      <c r="G397" s="11" t="s">
        <v>6</v>
      </c>
      <c r="H397" s="11" t="s">
        <v>6</v>
      </c>
      <c r="I397" s="11" t="s">
        <v>6</v>
      </c>
      <c r="J397" s="11" t="s">
        <v>6</v>
      </c>
      <c r="K397" s="143"/>
    </row>
    <row r="398" spans="1:12">
      <c r="A398" s="19" t="s">
        <v>353</v>
      </c>
      <c r="B398" s="19"/>
      <c r="C398" s="19" t="s">
        <v>275</v>
      </c>
      <c r="D398" s="19"/>
      <c r="E398" s="19"/>
      <c r="F398" s="11">
        <v>750</v>
      </c>
      <c r="G398" s="11">
        <v>0</v>
      </c>
      <c r="H398" s="11">
        <v>642.33000000000004</v>
      </c>
      <c r="I398" s="39">
        <f t="shared" ref="I398:I399" si="92">(H398/11)*12</f>
        <v>700.72363636363639</v>
      </c>
      <c r="J398" s="11">
        <v>750</v>
      </c>
      <c r="K398" s="114"/>
      <c r="L398"/>
    </row>
    <row r="399" spans="1:12">
      <c r="A399" s="19" t="s">
        <v>354</v>
      </c>
      <c r="B399" s="19"/>
      <c r="C399" s="19" t="s">
        <v>342</v>
      </c>
      <c r="D399" s="19"/>
      <c r="E399" s="19"/>
      <c r="F399" s="11">
        <v>500</v>
      </c>
      <c r="G399" s="11">
        <v>0</v>
      </c>
      <c r="H399" s="11">
        <v>333.15</v>
      </c>
      <c r="I399" s="39">
        <f t="shared" si="92"/>
        <v>363.43636363636364</v>
      </c>
      <c r="J399" s="11">
        <v>400</v>
      </c>
      <c r="K399" s="114" t="s">
        <v>791</v>
      </c>
      <c r="L399"/>
    </row>
    <row r="400" spans="1:12" s="3" customFormat="1" ht="15.75" thickBot="1">
      <c r="A400" s="9"/>
      <c r="B400" s="9"/>
      <c r="C400" s="9" t="s">
        <v>972</v>
      </c>
      <c r="D400" s="9"/>
      <c r="E400" s="9"/>
      <c r="F400" s="35">
        <f>SUM(F398:F399)</f>
        <v>1250</v>
      </c>
      <c r="G400" s="35">
        <f t="shared" ref="G400:J400" si="93">SUM(G398:G399)</f>
        <v>0</v>
      </c>
      <c r="H400" s="35">
        <f t="shared" si="93"/>
        <v>975.48</v>
      </c>
      <c r="I400" s="35">
        <f t="shared" si="93"/>
        <v>1064.1600000000001</v>
      </c>
      <c r="J400" s="35">
        <f t="shared" si="93"/>
        <v>1150</v>
      </c>
      <c r="K400" s="109"/>
    </row>
    <row r="401" spans="1:12" ht="15.75" thickTop="1">
      <c r="A401" s="19"/>
      <c r="B401" s="19"/>
      <c r="C401" s="19"/>
      <c r="D401" s="19"/>
      <c r="E401" s="19"/>
      <c r="F401" s="20"/>
      <c r="G401" s="20"/>
      <c r="H401" s="20"/>
      <c r="I401" s="20"/>
      <c r="J401" s="20"/>
      <c r="K401" s="143"/>
    </row>
    <row r="402" spans="1:12">
      <c r="A402" s="19" t="s">
        <v>6</v>
      </c>
      <c r="B402" s="19"/>
      <c r="C402" s="19" t="s">
        <v>24</v>
      </c>
      <c r="D402" s="19"/>
      <c r="E402" s="19"/>
      <c r="F402" s="11" t="s">
        <v>6</v>
      </c>
      <c r="G402" s="11" t="s">
        <v>6</v>
      </c>
      <c r="H402" s="11" t="s">
        <v>6</v>
      </c>
      <c r="I402" s="11" t="s">
        <v>6</v>
      </c>
      <c r="J402" s="11" t="s">
        <v>6</v>
      </c>
      <c r="K402" s="143"/>
    </row>
    <row r="403" spans="1:12">
      <c r="A403" s="19" t="s">
        <v>518</v>
      </c>
      <c r="B403" s="19"/>
      <c r="C403" s="19" t="s">
        <v>355</v>
      </c>
      <c r="D403" s="19"/>
      <c r="E403" s="19"/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4"/>
      <c r="L403"/>
    </row>
    <row r="404" spans="1:12" s="3" customFormat="1" ht="15.75" thickBot="1">
      <c r="A404" s="9"/>
      <c r="B404" s="9"/>
      <c r="C404" s="9" t="s">
        <v>973</v>
      </c>
      <c r="D404" s="9"/>
      <c r="E404" s="9"/>
      <c r="F404" s="35">
        <f>SUM(F403)</f>
        <v>0</v>
      </c>
      <c r="G404" s="35">
        <f t="shared" ref="G404:J404" si="94">SUM(G403)</f>
        <v>0</v>
      </c>
      <c r="H404" s="35">
        <f t="shared" si="94"/>
        <v>0</v>
      </c>
      <c r="I404" s="35">
        <f t="shared" si="94"/>
        <v>0</v>
      </c>
      <c r="J404" s="35">
        <f t="shared" si="94"/>
        <v>0</v>
      </c>
      <c r="K404" s="109"/>
    </row>
    <row r="405" spans="1:12" ht="15.75" thickTop="1">
      <c r="A405" s="19"/>
      <c r="B405" s="19"/>
      <c r="C405" s="19"/>
      <c r="D405" s="19"/>
      <c r="E405" s="19"/>
      <c r="F405" s="20"/>
      <c r="G405" s="20"/>
      <c r="H405" s="20"/>
      <c r="I405" s="20"/>
      <c r="J405" s="20"/>
      <c r="K405" s="114"/>
      <c r="L405"/>
    </row>
    <row r="406" spans="1:12">
      <c r="A406" s="19"/>
      <c r="B406" s="19"/>
      <c r="C406" s="19" t="s">
        <v>30</v>
      </c>
      <c r="D406" s="19"/>
      <c r="E406" s="19"/>
      <c r="F406" s="20"/>
      <c r="G406" s="20"/>
      <c r="H406" s="20"/>
      <c r="I406" s="20"/>
      <c r="J406" s="20"/>
      <c r="K406" s="114"/>
      <c r="L406"/>
    </row>
    <row r="407" spans="1:12">
      <c r="A407" s="19" t="s">
        <v>843</v>
      </c>
      <c r="B407" s="19"/>
      <c r="C407" s="19" t="s">
        <v>976</v>
      </c>
      <c r="D407" s="19"/>
      <c r="E407" s="19"/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4"/>
      <c r="L407"/>
    </row>
    <row r="408" spans="1:12" s="3" customFormat="1" ht="15.75" thickBot="1">
      <c r="A408" s="9"/>
      <c r="B408" s="9"/>
      <c r="C408" s="9" t="s">
        <v>974</v>
      </c>
      <c r="D408" s="9"/>
      <c r="E408" s="9"/>
      <c r="F408" s="35">
        <f>SUM(F407)</f>
        <v>0</v>
      </c>
      <c r="G408" s="35">
        <f t="shared" ref="G408:J408" si="95">SUM(G407)</f>
        <v>0</v>
      </c>
      <c r="H408" s="35">
        <f t="shared" si="95"/>
        <v>0</v>
      </c>
      <c r="I408" s="35">
        <f t="shared" si="95"/>
        <v>0</v>
      </c>
      <c r="J408" s="35">
        <f t="shared" si="95"/>
        <v>0</v>
      </c>
      <c r="K408" s="109"/>
    </row>
    <row r="409" spans="1:12" ht="15.75" thickTop="1">
      <c r="A409" s="19"/>
      <c r="B409" s="19"/>
      <c r="C409" s="19"/>
      <c r="D409" s="19"/>
      <c r="E409" s="19"/>
      <c r="F409" s="20"/>
      <c r="G409" s="20"/>
      <c r="H409" s="20"/>
      <c r="I409" s="20"/>
      <c r="J409" s="20"/>
      <c r="K409" s="114"/>
      <c r="L409"/>
    </row>
    <row r="410" spans="1:12" ht="15.75" thickBot="1">
      <c r="A410" s="19"/>
      <c r="B410" s="19"/>
      <c r="C410" s="9" t="s">
        <v>977</v>
      </c>
      <c r="D410" s="9"/>
      <c r="E410" s="9"/>
      <c r="F410" s="34">
        <f>F384+F389+F395+F400+F404+F408</f>
        <v>137794</v>
      </c>
      <c r="G410" s="34">
        <f t="shared" ref="G410:J410" si="96">G384+G389+G395+G400+G404+G408</f>
        <v>0</v>
      </c>
      <c r="H410" s="34">
        <f t="shared" si="96"/>
        <v>186052.95</v>
      </c>
      <c r="I410" s="34">
        <f t="shared" si="96"/>
        <v>186053.16025681817</v>
      </c>
      <c r="J410" s="34">
        <f t="shared" si="96"/>
        <v>178797.5</v>
      </c>
      <c r="K410" s="114"/>
      <c r="L410"/>
    </row>
    <row r="411" spans="1:12" ht="15.75" thickTop="1">
      <c r="A411" s="19"/>
      <c r="B411" s="19"/>
      <c r="C411" s="19"/>
      <c r="D411" s="19"/>
      <c r="E411" s="19"/>
      <c r="F411" s="20"/>
      <c r="G411" s="20"/>
      <c r="H411" s="20"/>
      <c r="I411" s="20"/>
      <c r="J411" s="20"/>
      <c r="K411" s="143"/>
    </row>
    <row r="412" spans="1:12">
      <c r="A412" s="19"/>
      <c r="B412" s="19"/>
      <c r="C412" s="19"/>
      <c r="D412" s="19"/>
      <c r="E412" s="19"/>
      <c r="F412" s="20"/>
      <c r="G412" s="20"/>
      <c r="H412" s="20"/>
      <c r="I412" s="20"/>
      <c r="J412" s="20"/>
      <c r="K412" s="143"/>
    </row>
    <row r="413" spans="1:12">
      <c r="A413" s="250" t="s">
        <v>837</v>
      </c>
      <c r="B413" s="250"/>
      <c r="C413" s="250"/>
      <c r="D413" s="250"/>
      <c r="E413" s="250"/>
      <c r="F413" s="250"/>
      <c r="G413" s="250"/>
      <c r="H413" s="250"/>
      <c r="I413" s="250"/>
      <c r="J413" s="250"/>
      <c r="K413" s="250"/>
      <c r="L413"/>
    </row>
    <row r="414" spans="1:12">
      <c r="A414" s="19"/>
      <c r="B414" s="19"/>
      <c r="C414" s="19" t="s">
        <v>196</v>
      </c>
      <c r="D414" s="19"/>
      <c r="E414" s="19"/>
      <c r="F414" s="20"/>
      <c r="G414" s="20"/>
      <c r="H414" s="20"/>
      <c r="I414" s="20"/>
      <c r="J414" s="20"/>
      <c r="K414" s="143"/>
    </row>
    <row r="415" spans="1:12" s="4" customFormat="1">
      <c r="A415" s="37" t="s">
        <v>899</v>
      </c>
      <c r="B415" s="37"/>
      <c r="C415" s="37" t="s">
        <v>1010</v>
      </c>
      <c r="D415" s="37"/>
      <c r="E415" s="37"/>
      <c r="F415" s="39">
        <v>10140</v>
      </c>
      <c r="G415" s="39">
        <v>0</v>
      </c>
      <c r="H415" s="39">
        <v>8190</v>
      </c>
      <c r="I415" s="39">
        <v>8220</v>
      </c>
      <c r="J415" s="39">
        <v>11760</v>
      </c>
      <c r="K415" s="145"/>
    </row>
    <row r="416" spans="1:12" s="4" customFormat="1">
      <c r="A416" s="37" t="s">
        <v>357</v>
      </c>
      <c r="B416" s="37"/>
      <c r="C416" s="37" t="s">
        <v>1011</v>
      </c>
      <c r="D416" s="37"/>
      <c r="E416" s="37"/>
      <c r="F416" s="39">
        <v>0</v>
      </c>
      <c r="G416" s="39">
        <v>0</v>
      </c>
      <c r="H416" s="39">
        <v>30578.01</v>
      </c>
      <c r="I416" s="39">
        <f t="shared" ref="I416" si="97">(H416/11)*12</f>
        <v>33357.829090909087</v>
      </c>
      <c r="J416" s="39">
        <v>30000</v>
      </c>
      <c r="K416" s="145"/>
    </row>
    <row r="417" spans="1:12" ht="15.75" thickBot="1">
      <c r="A417" s="19"/>
      <c r="B417" s="19"/>
      <c r="C417" s="19" t="s">
        <v>959</v>
      </c>
      <c r="D417" s="19"/>
      <c r="E417" s="19"/>
      <c r="F417" s="12">
        <f>SUM(F415:F416)</f>
        <v>10140</v>
      </c>
      <c r="G417" s="12">
        <f t="shared" ref="G417:J417" si="98">SUM(G415:G416)</f>
        <v>0</v>
      </c>
      <c r="H417" s="12">
        <f t="shared" si="98"/>
        <v>38768.009999999995</v>
      </c>
      <c r="I417" s="12">
        <f t="shared" si="98"/>
        <v>41577.829090909087</v>
      </c>
      <c r="J417" s="12">
        <f t="shared" si="98"/>
        <v>41760</v>
      </c>
      <c r="K417" s="114"/>
      <c r="L417"/>
    </row>
    <row r="418" spans="1:12" ht="15.75" thickTop="1">
      <c r="A418" s="19"/>
      <c r="B418" s="19"/>
      <c r="C418" s="19"/>
      <c r="D418" s="19"/>
      <c r="E418" s="19"/>
      <c r="F418" s="20"/>
      <c r="G418" s="20"/>
      <c r="H418" s="20"/>
      <c r="J418" s="20"/>
      <c r="K418" s="143"/>
    </row>
    <row r="419" spans="1:12">
      <c r="A419" s="19"/>
      <c r="B419" s="19"/>
      <c r="C419" s="19" t="s">
        <v>197</v>
      </c>
      <c r="D419" s="19"/>
      <c r="E419" s="19"/>
      <c r="F419" s="20"/>
      <c r="G419" s="20"/>
      <c r="H419" s="20"/>
      <c r="J419" s="20"/>
      <c r="K419" s="143"/>
    </row>
    <row r="420" spans="1:12" s="4" customFormat="1">
      <c r="A420" s="37" t="s">
        <v>358</v>
      </c>
      <c r="B420" s="37"/>
      <c r="C420" s="37" t="s">
        <v>359</v>
      </c>
      <c r="D420" s="37"/>
      <c r="E420" s="37"/>
      <c r="F420" s="39">
        <v>0</v>
      </c>
      <c r="G420" s="39">
        <v>0</v>
      </c>
      <c r="H420" s="39">
        <v>10884.25</v>
      </c>
      <c r="I420" s="39">
        <f t="shared" ref="I420" si="99">(H420/11)*12</f>
        <v>11873.727272727272</v>
      </c>
      <c r="J420" s="39">
        <v>10000</v>
      </c>
      <c r="K420" s="145"/>
    </row>
    <row r="421" spans="1:12" s="4" customFormat="1">
      <c r="A421" s="37" t="s">
        <v>360</v>
      </c>
      <c r="B421" s="37"/>
      <c r="C421" s="37" t="s">
        <v>293</v>
      </c>
      <c r="D421" s="37"/>
      <c r="E421" s="37"/>
      <c r="F421" s="39">
        <v>147</v>
      </c>
      <c r="G421" s="39">
        <v>0</v>
      </c>
      <c r="H421" s="39">
        <v>1730.58</v>
      </c>
      <c r="I421" s="39">
        <f>(I417*0.0145)+892.66</f>
        <v>1495.5385218181818</v>
      </c>
      <c r="J421" s="39">
        <f>J417*0.0145</f>
        <v>605.52</v>
      </c>
      <c r="K421" s="145"/>
      <c r="L421" s="153"/>
    </row>
    <row r="422" spans="1:12" s="4" customFormat="1">
      <c r="A422" s="37" t="s">
        <v>361</v>
      </c>
      <c r="B422" s="37"/>
      <c r="C422" s="37" t="s">
        <v>362</v>
      </c>
      <c r="D422" s="37"/>
      <c r="E422" s="37"/>
      <c r="F422" s="39">
        <v>2535</v>
      </c>
      <c r="G422" s="39">
        <v>0</v>
      </c>
      <c r="H422" s="39">
        <v>2047.5</v>
      </c>
      <c r="I422" s="39">
        <f t="shared" ref="I422" si="100">(H422/11)*12</f>
        <v>2233.6363636363635</v>
      </c>
      <c r="J422" s="39">
        <v>2500</v>
      </c>
      <c r="K422" s="145"/>
    </row>
    <row r="423" spans="1:12" ht="15.75" thickBot="1">
      <c r="A423" s="19"/>
      <c r="B423" s="19"/>
      <c r="C423" s="19" t="s">
        <v>960</v>
      </c>
      <c r="D423" s="19"/>
      <c r="E423" s="19"/>
      <c r="F423" s="21">
        <f>SUM(F420:F422)</f>
        <v>2682</v>
      </c>
      <c r="G423" s="21">
        <f t="shared" ref="G423:J423" si="101">SUM(G420:G422)</f>
        <v>0</v>
      </c>
      <c r="H423" s="21">
        <f t="shared" si="101"/>
        <v>14662.33</v>
      </c>
      <c r="I423" s="21">
        <f t="shared" si="101"/>
        <v>15602.902158181818</v>
      </c>
      <c r="J423" s="21">
        <f t="shared" si="101"/>
        <v>13105.52</v>
      </c>
      <c r="K423" s="114"/>
      <c r="L423"/>
    </row>
    <row r="424" spans="1:12" ht="15.75" thickTop="1">
      <c r="A424" s="19"/>
      <c r="B424" s="19"/>
      <c r="D424" s="19"/>
      <c r="E424" s="19"/>
      <c r="F424" s="20"/>
      <c r="G424" s="20"/>
      <c r="H424" s="20"/>
      <c r="J424" s="20"/>
      <c r="K424" s="143"/>
    </row>
    <row r="425" spans="1:12" s="3" customFormat="1" ht="15.75" thickBot="1">
      <c r="A425" s="9"/>
      <c r="B425" s="9"/>
      <c r="C425" s="18" t="s">
        <v>953</v>
      </c>
      <c r="D425" s="9"/>
      <c r="E425" s="9"/>
      <c r="F425" s="34">
        <f>F417+F423</f>
        <v>12822</v>
      </c>
      <c r="G425" s="34">
        <f t="shared" ref="G425:J425" si="102">G417+G423</f>
        <v>0</v>
      </c>
      <c r="H425" s="34">
        <f t="shared" si="102"/>
        <v>53430.34</v>
      </c>
      <c r="I425" s="34">
        <f t="shared" si="102"/>
        <v>57180.731249090903</v>
      </c>
      <c r="J425" s="34">
        <f t="shared" si="102"/>
        <v>54865.520000000004</v>
      </c>
      <c r="K425" s="109"/>
    </row>
    <row r="426" spans="1:12" ht="15.75" thickTop="1">
      <c r="A426" s="19"/>
      <c r="B426" s="19"/>
      <c r="D426" s="19"/>
      <c r="E426" s="19"/>
      <c r="F426" s="20"/>
      <c r="G426" s="20"/>
      <c r="H426" s="20"/>
      <c r="J426" s="20"/>
      <c r="K426" s="143"/>
    </row>
    <row r="427" spans="1:12">
      <c r="A427" s="19"/>
      <c r="B427" s="19"/>
      <c r="C427" s="19" t="s">
        <v>199</v>
      </c>
      <c r="D427" s="19"/>
      <c r="E427" s="19"/>
      <c r="F427" s="20"/>
      <c r="G427" s="20"/>
      <c r="H427" s="20"/>
      <c r="J427" s="20"/>
      <c r="K427" s="143"/>
    </row>
    <row r="428" spans="1:12" s="4" customFormat="1">
      <c r="A428" s="37" t="s">
        <v>363</v>
      </c>
      <c r="B428" s="37"/>
      <c r="C428" s="37" t="s">
        <v>364</v>
      </c>
      <c r="D428" s="37"/>
      <c r="E428" s="37"/>
      <c r="F428" s="39">
        <v>5000</v>
      </c>
      <c r="G428" s="39">
        <v>0</v>
      </c>
      <c r="H428" s="39">
        <v>6545.1040000000003</v>
      </c>
      <c r="I428" s="39">
        <f t="shared" ref="I428:I429" si="103">(H428/11)*12</f>
        <v>7140.1134545454552</v>
      </c>
      <c r="J428" s="39">
        <v>5000</v>
      </c>
      <c r="K428" s="145"/>
    </row>
    <row r="429" spans="1:12" s="4" customFormat="1">
      <c r="A429" s="37" t="s">
        <v>365</v>
      </c>
      <c r="B429" s="37"/>
      <c r="C429" s="37" t="s">
        <v>366</v>
      </c>
      <c r="D429" s="37"/>
      <c r="E429" s="37"/>
      <c r="F429" s="39">
        <v>1500</v>
      </c>
      <c r="G429" s="39">
        <v>0</v>
      </c>
      <c r="H429" s="39">
        <v>-179.43</v>
      </c>
      <c r="I429" s="39">
        <f t="shared" si="103"/>
        <v>-195.74181818181819</v>
      </c>
      <c r="J429" s="39">
        <v>1000</v>
      </c>
      <c r="K429" s="145"/>
    </row>
    <row r="430" spans="1:12" s="3" customFormat="1" ht="15.75" thickBot="1">
      <c r="A430" s="9"/>
      <c r="B430" s="9"/>
      <c r="C430" s="9" t="s">
        <v>954</v>
      </c>
      <c r="D430" s="9"/>
      <c r="E430" s="9"/>
      <c r="F430" s="35">
        <f>SUM(F428:F429)</f>
        <v>6500</v>
      </c>
      <c r="G430" s="35">
        <f t="shared" ref="G430:J430" si="104">SUM(G428:G429)</f>
        <v>0</v>
      </c>
      <c r="H430" s="35">
        <f t="shared" si="104"/>
        <v>6365.674</v>
      </c>
      <c r="I430" s="35">
        <f t="shared" si="104"/>
        <v>6944.3716363636368</v>
      </c>
      <c r="J430" s="35">
        <f t="shared" si="104"/>
        <v>6000</v>
      </c>
      <c r="K430" s="109"/>
    </row>
    <row r="431" spans="1:12" ht="15.75" thickTop="1">
      <c r="A431" s="19"/>
      <c r="B431" s="19"/>
      <c r="C431" s="19"/>
      <c r="D431" s="19"/>
      <c r="E431" s="19"/>
      <c r="F431" s="20"/>
      <c r="G431" s="20"/>
      <c r="H431" s="20"/>
      <c r="J431" s="20"/>
      <c r="K431" s="143"/>
    </row>
    <row r="432" spans="1:12">
      <c r="A432" s="19"/>
      <c r="B432" s="19"/>
      <c r="C432" s="19" t="s">
        <v>202</v>
      </c>
      <c r="D432" s="19"/>
      <c r="E432" s="19"/>
      <c r="F432" s="20"/>
      <c r="G432" s="20"/>
      <c r="H432" s="20"/>
      <c r="J432" s="20"/>
      <c r="K432" s="114"/>
      <c r="L432"/>
    </row>
    <row r="433" spans="1:12" s="4" customFormat="1">
      <c r="A433" s="37" t="s">
        <v>374</v>
      </c>
      <c r="B433" s="37"/>
      <c r="C433" s="37" t="s">
        <v>367</v>
      </c>
      <c r="D433" s="37"/>
      <c r="E433" s="37"/>
      <c r="F433" s="39">
        <v>800</v>
      </c>
      <c r="G433" s="39">
        <v>0</v>
      </c>
      <c r="H433" s="39">
        <v>534.84</v>
      </c>
      <c r="I433" s="39">
        <f t="shared" ref="I433:I440" si="105">(H433/11)*12</f>
        <v>583.46181818181822</v>
      </c>
      <c r="J433" s="39">
        <v>500</v>
      </c>
      <c r="K433" s="145"/>
    </row>
    <row r="434" spans="1:12" s="4" customFormat="1">
      <c r="A434" s="37" t="s">
        <v>375</v>
      </c>
      <c r="B434" s="37"/>
      <c r="C434" s="37" t="s">
        <v>368</v>
      </c>
      <c r="D434" s="37"/>
      <c r="E434" s="37"/>
      <c r="F434" s="39">
        <v>12000</v>
      </c>
      <c r="G434" s="39">
        <v>0</v>
      </c>
      <c r="H434" s="39">
        <v>13077</v>
      </c>
      <c r="I434" s="39">
        <f t="shared" si="105"/>
        <v>14265.81818181818</v>
      </c>
      <c r="J434" s="39">
        <v>12000</v>
      </c>
      <c r="K434" s="145"/>
    </row>
    <row r="435" spans="1:12">
      <c r="A435" s="19" t="s">
        <v>376</v>
      </c>
      <c r="B435" s="19"/>
      <c r="C435" s="19" t="s">
        <v>334</v>
      </c>
      <c r="D435" s="19"/>
      <c r="E435" s="19"/>
      <c r="F435" s="11">
        <v>2000</v>
      </c>
      <c r="G435" s="11">
        <v>0</v>
      </c>
      <c r="H435" s="11">
        <v>526.01</v>
      </c>
      <c r="I435" s="39">
        <f t="shared" si="105"/>
        <v>573.82909090909095</v>
      </c>
      <c r="J435" s="11">
        <v>1000</v>
      </c>
      <c r="K435" s="114"/>
      <c r="L435"/>
    </row>
    <row r="436" spans="1:12">
      <c r="A436" s="19" t="s">
        <v>377</v>
      </c>
      <c r="B436" s="19"/>
      <c r="C436" s="19" t="s">
        <v>336</v>
      </c>
      <c r="D436" s="19"/>
      <c r="E436" s="19"/>
      <c r="F436" s="11">
        <v>500</v>
      </c>
      <c r="G436" s="11">
        <v>0</v>
      </c>
      <c r="H436" s="11">
        <v>479.53</v>
      </c>
      <c r="I436" s="39">
        <f t="shared" si="105"/>
        <v>523.12363636363636</v>
      </c>
      <c r="J436" s="11">
        <v>800</v>
      </c>
      <c r="K436" s="114"/>
      <c r="L436"/>
    </row>
    <row r="437" spans="1:12" s="4" customFormat="1">
      <c r="A437" s="37" t="s">
        <v>378</v>
      </c>
      <c r="B437" s="37"/>
      <c r="C437" s="37" t="s">
        <v>369</v>
      </c>
      <c r="D437" s="37"/>
      <c r="E437" s="37"/>
      <c r="F437" s="39">
        <v>500</v>
      </c>
      <c r="G437" s="39">
        <v>0</v>
      </c>
      <c r="H437" s="39">
        <v>0</v>
      </c>
      <c r="I437" s="39">
        <f t="shared" si="105"/>
        <v>0</v>
      </c>
      <c r="J437" s="39">
        <v>0</v>
      </c>
      <c r="K437" s="145" t="s">
        <v>904</v>
      </c>
    </row>
    <row r="438" spans="1:12" s="4" customFormat="1">
      <c r="A438" s="37" t="s">
        <v>379</v>
      </c>
      <c r="B438" s="37"/>
      <c r="C438" s="37" t="s">
        <v>309</v>
      </c>
      <c r="D438" s="37"/>
      <c r="E438" s="37"/>
      <c r="F438" s="39">
        <v>5000</v>
      </c>
      <c r="G438" s="39">
        <v>0</v>
      </c>
      <c r="H438" s="39">
        <v>3224.09</v>
      </c>
      <c r="I438" s="39">
        <f t="shared" si="105"/>
        <v>3517.1890909090912</v>
      </c>
      <c r="J438" s="39">
        <v>2500</v>
      </c>
      <c r="K438" s="145"/>
    </row>
    <row r="439" spans="1:12" s="4" customFormat="1">
      <c r="A439" s="37" t="s">
        <v>370</v>
      </c>
      <c r="B439" s="37"/>
      <c r="C439" s="37" t="s">
        <v>371</v>
      </c>
      <c r="D439" s="37"/>
      <c r="E439" s="37"/>
      <c r="F439" s="39">
        <v>15000</v>
      </c>
      <c r="G439" s="39">
        <v>0</v>
      </c>
      <c r="H439" s="39">
        <v>18896.310000000001</v>
      </c>
      <c r="I439" s="39">
        <f t="shared" si="105"/>
        <v>20614.156363636364</v>
      </c>
      <c r="J439" s="39">
        <v>20000</v>
      </c>
      <c r="K439" s="145"/>
    </row>
    <row r="440" spans="1:12">
      <c r="A440" s="19" t="s">
        <v>372</v>
      </c>
      <c r="B440" s="19"/>
      <c r="C440" s="19" t="s">
        <v>373</v>
      </c>
      <c r="D440" s="19"/>
      <c r="E440" s="19"/>
      <c r="F440" s="11">
        <v>0</v>
      </c>
      <c r="G440" s="11">
        <v>0</v>
      </c>
      <c r="H440" s="11">
        <v>266.77</v>
      </c>
      <c r="I440" s="39">
        <f t="shared" si="105"/>
        <v>291.02181818181816</v>
      </c>
      <c r="J440" s="11">
        <v>500</v>
      </c>
      <c r="K440" s="114"/>
      <c r="L440"/>
    </row>
    <row r="441" spans="1:12" s="3" customFormat="1" ht="15.75" thickBot="1">
      <c r="A441" s="9"/>
      <c r="B441" s="9"/>
      <c r="C441" s="9" t="s">
        <v>978</v>
      </c>
      <c r="D441" s="9"/>
      <c r="E441" s="9"/>
      <c r="F441" s="35">
        <f>SUM(F433:F440)</f>
        <v>35800</v>
      </c>
      <c r="G441" s="35">
        <f t="shared" ref="G441:J441" si="106">SUM(G433:G440)</f>
        <v>0</v>
      </c>
      <c r="H441" s="35">
        <f t="shared" si="106"/>
        <v>37004.549999999996</v>
      </c>
      <c r="I441" s="35">
        <f t="shared" si="106"/>
        <v>40368.600000000006</v>
      </c>
      <c r="J441" s="35">
        <f t="shared" si="106"/>
        <v>37300</v>
      </c>
      <c r="K441" s="109"/>
    </row>
    <row r="442" spans="1:12" ht="15.75" thickTop="1">
      <c r="A442" s="19"/>
      <c r="B442" s="19"/>
      <c r="C442" s="19"/>
      <c r="D442" s="19"/>
      <c r="E442" s="19"/>
      <c r="F442" s="20"/>
      <c r="G442" s="20"/>
      <c r="H442" s="20"/>
      <c r="J442" s="20"/>
      <c r="K442" s="143"/>
    </row>
    <row r="443" spans="1:12">
      <c r="A443" s="19"/>
      <c r="B443" s="19"/>
      <c r="C443" s="19" t="s">
        <v>204</v>
      </c>
      <c r="D443" s="19"/>
      <c r="E443" s="19"/>
      <c r="F443" s="20"/>
      <c r="G443" s="20"/>
      <c r="H443" s="20"/>
      <c r="J443" s="20"/>
      <c r="K443" s="143"/>
    </row>
    <row r="444" spans="1:12">
      <c r="A444" s="19" t="s">
        <v>380</v>
      </c>
      <c r="B444" s="19"/>
      <c r="C444" s="19" t="s">
        <v>275</v>
      </c>
      <c r="D444" s="19"/>
      <c r="E444" s="19"/>
      <c r="F444" s="11">
        <v>1500</v>
      </c>
      <c r="G444" s="11">
        <v>0</v>
      </c>
      <c r="H444" s="11">
        <v>1110.05</v>
      </c>
      <c r="I444" s="39">
        <f t="shared" ref="I444:I447" si="107">(H444/11)*12</f>
        <v>1210.9636363636364</v>
      </c>
      <c r="J444" s="11">
        <v>1500</v>
      </c>
      <c r="K444" s="114"/>
      <c r="L444"/>
    </row>
    <row r="445" spans="1:12" s="4" customFormat="1">
      <c r="A445" s="37" t="s">
        <v>381</v>
      </c>
      <c r="B445" s="37"/>
      <c r="C445" s="37" t="s">
        <v>382</v>
      </c>
      <c r="D445" s="37"/>
      <c r="E445" s="37"/>
      <c r="F445" s="39">
        <v>20000</v>
      </c>
      <c r="G445" s="39">
        <v>0</v>
      </c>
      <c r="H445" s="39">
        <v>23965.17</v>
      </c>
      <c r="I445" s="39">
        <f t="shared" si="107"/>
        <v>26143.821818181816</v>
      </c>
      <c r="J445" s="39">
        <v>20000</v>
      </c>
      <c r="K445" s="145"/>
    </row>
    <row r="446" spans="1:12">
      <c r="A446" s="19" t="s">
        <v>383</v>
      </c>
      <c r="B446" s="19"/>
      <c r="C446" s="19" t="s">
        <v>279</v>
      </c>
      <c r="D446" s="19"/>
      <c r="E446" s="19"/>
      <c r="F446" s="11">
        <v>5000</v>
      </c>
      <c r="G446" s="11">
        <v>0</v>
      </c>
      <c r="H446" s="11">
        <v>4162.22</v>
      </c>
      <c r="I446" s="39">
        <f t="shared" si="107"/>
        <v>4540.6036363636367</v>
      </c>
      <c r="J446" s="11">
        <v>5000</v>
      </c>
      <c r="K446" s="114"/>
      <c r="L446"/>
    </row>
    <row r="447" spans="1:12" s="4" customFormat="1">
      <c r="A447" s="37" t="s">
        <v>384</v>
      </c>
      <c r="B447" s="37"/>
      <c r="C447" s="37" t="s">
        <v>342</v>
      </c>
      <c r="D447" s="37"/>
      <c r="E447" s="37"/>
      <c r="F447" s="39">
        <v>1000</v>
      </c>
      <c r="G447" s="39">
        <v>0</v>
      </c>
      <c r="H447" s="39">
        <v>849.96</v>
      </c>
      <c r="I447" s="39">
        <f t="shared" si="107"/>
        <v>927.22909090909093</v>
      </c>
      <c r="J447" s="39">
        <v>1000</v>
      </c>
      <c r="K447" s="145" t="s">
        <v>905</v>
      </c>
    </row>
    <row r="448" spans="1:12" s="3" customFormat="1" ht="15.75" thickBot="1">
      <c r="A448" s="9"/>
      <c r="B448" s="9"/>
      <c r="C448" s="9" t="s">
        <v>956</v>
      </c>
      <c r="D448" s="9"/>
      <c r="E448" s="9"/>
      <c r="F448" s="35">
        <f>SUM(F444:F447)</f>
        <v>27500</v>
      </c>
      <c r="G448" s="35">
        <f t="shared" ref="G448:J448" si="108">SUM(G444:G447)</f>
        <v>0</v>
      </c>
      <c r="H448" s="35">
        <f t="shared" si="108"/>
        <v>30087.399999999998</v>
      </c>
      <c r="I448" s="35">
        <f t="shared" si="108"/>
        <v>32822.618181818179</v>
      </c>
      <c r="J448" s="35">
        <f t="shared" si="108"/>
        <v>27500</v>
      </c>
      <c r="K448" s="109"/>
    </row>
    <row r="449" spans="1:12" ht="15.75" thickTop="1">
      <c r="A449" s="19"/>
      <c r="B449" s="19"/>
      <c r="C449" s="19"/>
      <c r="D449" s="19"/>
      <c r="E449" s="19"/>
      <c r="F449" s="20"/>
      <c r="G449" s="20"/>
      <c r="H449" s="20"/>
      <c r="J449" s="20"/>
      <c r="K449" s="143"/>
    </row>
    <row r="450" spans="1:12">
      <c r="A450" s="19"/>
      <c r="B450" s="19"/>
      <c r="C450" s="19" t="s">
        <v>356</v>
      </c>
      <c r="D450" s="19"/>
      <c r="E450" s="19"/>
      <c r="F450" s="20"/>
      <c r="G450" s="20"/>
      <c r="H450" s="20"/>
      <c r="J450" s="20"/>
      <c r="K450" s="143"/>
    </row>
    <row r="451" spans="1:12" s="4" customFormat="1">
      <c r="A451" s="37" t="s">
        <v>385</v>
      </c>
      <c r="B451" s="37"/>
      <c r="C451" s="37" t="s">
        <v>386</v>
      </c>
      <c r="D451" s="37"/>
      <c r="E451" s="37"/>
      <c r="F451" s="39">
        <v>10000</v>
      </c>
      <c r="G451" s="39">
        <v>0</v>
      </c>
      <c r="H451" s="39">
        <v>8973.66</v>
      </c>
      <c r="I451" s="39">
        <f t="shared" ref="I451" si="109">(H451/11)*12</f>
        <v>9789.4472727272732</v>
      </c>
      <c r="J451" s="39">
        <v>10000</v>
      </c>
      <c r="K451" s="145"/>
    </row>
    <row r="452" spans="1:12" s="3" customFormat="1" ht="15.75" thickBot="1">
      <c r="A452" s="9"/>
      <c r="B452" s="9"/>
      <c r="C452" s="9" t="s">
        <v>979</v>
      </c>
      <c r="D452" s="9"/>
      <c r="E452" s="9"/>
      <c r="F452" s="35">
        <f>SUM(F451)</f>
        <v>10000</v>
      </c>
      <c r="G452" s="35">
        <f t="shared" ref="G452:J452" si="110">SUM(G451)</f>
        <v>0</v>
      </c>
      <c r="H452" s="35">
        <f t="shared" si="110"/>
        <v>8973.66</v>
      </c>
      <c r="I452" s="35">
        <f t="shared" si="110"/>
        <v>9789.4472727272732</v>
      </c>
      <c r="J452" s="35">
        <f t="shared" si="110"/>
        <v>10000</v>
      </c>
      <c r="K452" s="109"/>
    </row>
    <row r="453" spans="1:12" ht="15.75" thickTop="1">
      <c r="A453" s="19"/>
      <c r="B453" s="19"/>
      <c r="C453" s="19"/>
      <c r="D453" s="19"/>
      <c r="E453" s="19"/>
      <c r="F453" s="20"/>
      <c r="G453" s="20"/>
      <c r="H453" s="20"/>
      <c r="J453" s="20"/>
      <c r="K453" s="114"/>
      <c r="L453"/>
    </row>
    <row r="454" spans="1:12">
      <c r="A454" s="19"/>
      <c r="B454" s="19"/>
      <c r="C454" s="19" t="s">
        <v>217</v>
      </c>
      <c r="D454" s="19"/>
      <c r="E454" s="19"/>
      <c r="F454" s="20"/>
      <c r="G454" s="20"/>
      <c r="H454" s="20"/>
      <c r="J454" s="20"/>
      <c r="K454" s="114"/>
      <c r="L454"/>
    </row>
    <row r="455" spans="1:12" s="4" customFormat="1">
      <c r="A455" s="37" t="s">
        <v>388</v>
      </c>
      <c r="B455" s="37"/>
      <c r="C455" s="37" t="s">
        <v>387</v>
      </c>
      <c r="D455" s="37"/>
      <c r="E455" s="37"/>
      <c r="F455" s="39">
        <v>6000</v>
      </c>
      <c r="G455" s="39">
        <v>0</v>
      </c>
      <c r="H455" s="39">
        <v>11940.98</v>
      </c>
      <c r="I455" s="39">
        <f t="shared" ref="I455" si="111">(H455/11)*12</f>
        <v>13026.523636363636</v>
      </c>
      <c r="J455" s="39">
        <v>10000</v>
      </c>
      <c r="K455" s="145"/>
    </row>
    <row r="456" spans="1:12" s="3" customFormat="1" ht="15.75" thickBot="1">
      <c r="A456" s="9"/>
      <c r="B456" s="9"/>
      <c r="C456" s="9" t="s">
        <v>961</v>
      </c>
      <c r="D456" s="9"/>
      <c r="E456" s="9"/>
      <c r="F456" s="35">
        <f>SUM(F455)</f>
        <v>6000</v>
      </c>
      <c r="G456" s="35">
        <f t="shared" ref="G456:J456" si="112">SUM(G455)</f>
        <v>0</v>
      </c>
      <c r="H456" s="35">
        <f t="shared" si="112"/>
        <v>11940.98</v>
      </c>
      <c r="I456" s="35">
        <f t="shared" si="112"/>
        <v>13026.523636363636</v>
      </c>
      <c r="J456" s="35">
        <f t="shared" si="112"/>
        <v>10000</v>
      </c>
      <c r="K456" s="109"/>
    </row>
    <row r="457" spans="1:12" ht="15.75" thickTop="1">
      <c r="A457" s="19"/>
      <c r="B457" s="19"/>
      <c r="C457" s="19"/>
      <c r="D457" s="19"/>
      <c r="E457" s="19"/>
      <c r="F457" s="20"/>
      <c r="G457" s="20"/>
      <c r="H457" s="20"/>
      <c r="J457" s="20"/>
      <c r="K457" s="114"/>
      <c r="L457"/>
    </row>
    <row r="458" spans="1:12">
      <c r="A458" s="19"/>
      <c r="B458" s="19"/>
      <c r="C458" s="19" t="s">
        <v>24</v>
      </c>
      <c r="D458" s="19"/>
      <c r="E458" s="19"/>
      <c r="F458" s="20"/>
      <c r="G458" s="20"/>
      <c r="H458" s="20"/>
      <c r="J458" s="20"/>
      <c r="K458" s="143"/>
    </row>
    <row r="459" spans="1:12" s="4" customFormat="1">
      <c r="A459" s="37" t="s">
        <v>519</v>
      </c>
      <c r="B459" s="37"/>
      <c r="C459" s="37" t="s">
        <v>389</v>
      </c>
      <c r="D459" s="37"/>
      <c r="E459" s="37"/>
      <c r="F459" s="39">
        <v>32000</v>
      </c>
      <c r="G459" s="39">
        <v>0</v>
      </c>
      <c r="H459" s="39">
        <v>0</v>
      </c>
      <c r="I459" s="47">
        <v>0</v>
      </c>
      <c r="J459" s="39">
        <v>0</v>
      </c>
      <c r="K459" s="145"/>
      <c r="L459" s="39"/>
    </row>
    <row r="460" spans="1:12" s="4" customFormat="1">
      <c r="A460" s="37" t="s">
        <v>812</v>
      </c>
      <c r="B460" s="37"/>
      <c r="C460" s="37" t="s">
        <v>813</v>
      </c>
      <c r="D460" s="37"/>
      <c r="E460" s="37"/>
      <c r="F460" s="39">
        <v>95000</v>
      </c>
      <c r="G460" s="39">
        <v>0</v>
      </c>
      <c r="H460" s="39">
        <v>0</v>
      </c>
      <c r="I460" s="47">
        <v>0</v>
      </c>
      <c r="J460" s="39">
        <v>157650</v>
      </c>
      <c r="K460" s="145" t="s">
        <v>906</v>
      </c>
      <c r="L460" s="39"/>
    </row>
    <row r="461" spans="1:12" s="4" customFormat="1">
      <c r="A461" s="37" t="s">
        <v>908</v>
      </c>
      <c r="B461" s="37"/>
      <c r="C461" s="37" t="s">
        <v>907</v>
      </c>
      <c r="D461" s="37"/>
      <c r="E461" s="37"/>
      <c r="F461" s="39">
        <v>0</v>
      </c>
      <c r="G461" s="39">
        <v>0</v>
      </c>
      <c r="H461" s="39">
        <v>0</v>
      </c>
      <c r="I461" s="47">
        <v>0</v>
      </c>
      <c r="J461" s="39">
        <v>74766.009999999995</v>
      </c>
      <c r="K461" s="145" t="s">
        <v>906</v>
      </c>
      <c r="L461" s="39"/>
    </row>
    <row r="462" spans="1:12" s="3" customFormat="1" ht="15.75" thickBot="1">
      <c r="A462" s="9"/>
      <c r="B462" s="9"/>
      <c r="C462" s="9" t="s">
        <v>980</v>
      </c>
      <c r="D462" s="9"/>
      <c r="E462" s="9"/>
      <c r="F462" s="35">
        <f>SUM(F459:F461)</f>
        <v>127000</v>
      </c>
      <c r="G462" s="35">
        <f t="shared" ref="G462:J462" si="113">SUM(G459:G461)</f>
        <v>0</v>
      </c>
      <c r="H462" s="35">
        <f t="shared" si="113"/>
        <v>0</v>
      </c>
      <c r="I462" s="35">
        <f t="shared" si="113"/>
        <v>0</v>
      </c>
      <c r="J462" s="35">
        <f t="shared" si="113"/>
        <v>232416.01</v>
      </c>
      <c r="K462" s="109"/>
    </row>
    <row r="463" spans="1:12" ht="15.75" thickTop="1">
      <c r="A463" s="19"/>
      <c r="B463" s="19"/>
      <c r="C463" s="19"/>
      <c r="D463" s="19"/>
      <c r="E463" s="19"/>
      <c r="F463" s="20"/>
      <c r="G463" s="20"/>
      <c r="H463" s="20"/>
      <c r="J463" s="20"/>
      <c r="K463" s="143"/>
    </row>
    <row r="464" spans="1:12">
      <c r="A464" s="19"/>
      <c r="B464" s="19"/>
      <c r="C464" s="19" t="s">
        <v>30</v>
      </c>
      <c r="D464" s="19"/>
      <c r="E464" s="19"/>
      <c r="F464" s="20"/>
      <c r="G464" s="20"/>
      <c r="H464" s="20"/>
      <c r="J464" s="20"/>
      <c r="K464" s="143"/>
    </row>
    <row r="465" spans="1:12">
      <c r="A465" s="19" t="s">
        <v>844</v>
      </c>
      <c r="B465" s="19"/>
      <c r="C465" s="19" t="s">
        <v>981</v>
      </c>
      <c r="D465" s="19"/>
      <c r="E465" s="19"/>
      <c r="F465" s="11">
        <v>0</v>
      </c>
      <c r="G465" s="11">
        <v>0</v>
      </c>
      <c r="H465" s="11">
        <v>0</v>
      </c>
      <c r="I465" s="30">
        <v>0</v>
      </c>
      <c r="J465" s="11">
        <v>0</v>
      </c>
      <c r="K465" s="114"/>
      <c r="L465"/>
    </row>
    <row r="466" spans="1:12" s="3" customFormat="1" ht="15.75" thickBot="1">
      <c r="A466" s="9"/>
      <c r="B466" s="9"/>
      <c r="C466" s="9" t="s">
        <v>974</v>
      </c>
      <c r="D466" s="9"/>
      <c r="E466" s="9"/>
      <c r="F466" s="35">
        <f>SUM(F465)</f>
        <v>0</v>
      </c>
      <c r="G466" s="35">
        <f t="shared" ref="G466:J466" si="114">SUM(G465)</f>
        <v>0</v>
      </c>
      <c r="H466" s="35">
        <f t="shared" si="114"/>
        <v>0</v>
      </c>
      <c r="I466" s="35">
        <f t="shared" si="114"/>
        <v>0</v>
      </c>
      <c r="J466" s="35">
        <f t="shared" si="114"/>
        <v>0</v>
      </c>
      <c r="K466" s="109"/>
    </row>
    <row r="467" spans="1:12" ht="15.75" thickTop="1">
      <c r="A467" s="19"/>
      <c r="B467" s="19"/>
      <c r="C467" s="19"/>
      <c r="D467" s="19"/>
      <c r="E467" s="19"/>
      <c r="F467" s="20"/>
      <c r="G467" s="20"/>
      <c r="H467" s="20"/>
      <c r="J467" s="20"/>
      <c r="K467" s="114"/>
      <c r="L467"/>
    </row>
    <row r="468" spans="1:12" ht="15.75" thickBot="1">
      <c r="A468" s="19"/>
      <c r="B468" s="19"/>
      <c r="C468" s="9" t="s">
        <v>982</v>
      </c>
      <c r="D468" s="9"/>
      <c r="E468" s="9"/>
      <c r="F468" s="34">
        <f>F425+F430+F441+F448+F452+F456+F462+F466</f>
        <v>225622</v>
      </c>
      <c r="G468" s="34">
        <f t="shared" ref="G468:J468" si="115">G425+G430+G441+G448+G452+G456+G462+G466</f>
        <v>0</v>
      </c>
      <c r="H468" s="34">
        <f t="shared" si="115"/>
        <v>147802.60399999999</v>
      </c>
      <c r="I468" s="34">
        <f t="shared" si="115"/>
        <v>160132.29197636363</v>
      </c>
      <c r="J468" s="34">
        <f t="shared" si="115"/>
        <v>378081.53</v>
      </c>
      <c r="K468" s="114"/>
      <c r="L468"/>
    </row>
    <row r="469" spans="1:12" ht="15.75" thickTop="1">
      <c r="A469" s="19"/>
      <c r="B469" s="19"/>
      <c r="C469" s="19"/>
      <c r="D469" s="19"/>
      <c r="E469" s="19"/>
      <c r="F469" s="20"/>
      <c r="G469" s="20"/>
      <c r="H469" s="20"/>
      <c r="J469" s="20"/>
      <c r="K469" s="114"/>
      <c r="L469"/>
    </row>
    <row r="470" spans="1:12">
      <c r="A470" s="19"/>
      <c r="B470" s="19"/>
      <c r="C470" s="19"/>
      <c r="D470" s="19"/>
      <c r="E470" s="19"/>
      <c r="F470" s="20"/>
      <c r="G470" s="20"/>
      <c r="H470" s="20"/>
      <c r="J470" s="20"/>
      <c r="K470" s="114"/>
      <c r="L470"/>
    </row>
    <row r="471" spans="1:12">
      <c r="A471" s="250" t="s">
        <v>838</v>
      </c>
      <c r="B471" s="250"/>
      <c r="C471" s="250"/>
      <c r="D471" s="250"/>
      <c r="E471" s="250"/>
      <c r="F471" s="250"/>
      <c r="G471" s="250"/>
      <c r="H471" s="250"/>
      <c r="I471" s="250"/>
      <c r="J471" s="250"/>
      <c r="K471" s="250"/>
      <c r="L471"/>
    </row>
    <row r="472" spans="1:12">
      <c r="A472" s="19" t="s">
        <v>6</v>
      </c>
      <c r="B472" s="19"/>
      <c r="C472" s="19" t="s">
        <v>196</v>
      </c>
      <c r="D472" s="19"/>
      <c r="E472" s="19"/>
      <c r="F472" s="11" t="s">
        <v>6</v>
      </c>
      <c r="G472" s="11" t="s">
        <v>6</v>
      </c>
      <c r="H472" s="11" t="s">
        <v>6</v>
      </c>
      <c r="I472" s="30" t="s">
        <v>6</v>
      </c>
      <c r="J472" s="11" t="s">
        <v>6</v>
      </c>
      <c r="K472" s="114"/>
      <c r="L472"/>
    </row>
    <row r="473" spans="1:12" s="4" customFormat="1">
      <c r="A473" s="37" t="s">
        <v>390</v>
      </c>
      <c r="B473" s="37"/>
      <c r="C473" s="37" t="s">
        <v>1012</v>
      </c>
      <c r="D473" s="37"/>
      <c r="E473" s="37"/>
      <c r="F473" s="39">
        <v>167000</v>
      </c>
      <c r="G473" s="39">
        <v>0</v>
      </c>
      <c r="H473" s="39">
        <v>178106.54</v>
      </c>
      <c r="I473" s="39">
        <v>173519.74</v>
      </c>
      <c r="J473" s="39">
        <v>165000</v>
      </c>
      <c r="K473" s="145"/>
    </row>
    <row r="474" spans="1:12" s="4" customFormat="1">
      <c r="A474" s="37" t="s">
        <v>391</v>
      </c>
      <c r="B474" s="37"/>
      <c r="C474" s="37" t="s">
        <v>1013</v>
      </c>
      <c r="D474" s="37"/>
      <c r="E474" s="37"/>
      <c r="F474" s="39">
        <v>3500</v>
      </c>
      <c r="G474" s="39">
        <v>0</v>
      </c>
      <c r="H474" s="39">
        <v>1459.87</v>
      </c>
      <c r="I474" s="39">
        <f t="shared" ref="I474" si="116">(H474/11)*12</f>
        <v>1592.5854545454545</v>
      </c>
      <c r="J474" s="39">
        <v>2000</v>
      </c>
      <c r="K474" s="145"/>
    </row>
    <row r="475" spans="1:12" ht="15.75" thickBot="1">
      <c r="A475" s="19" t="s">
        <v>6</v>
      </c>
      <c r="B475" s="19"/>
      <c r="C475" s="19" t="s">
        <v>959</v>
      </c>
      <c r="D475" s="19"/>
      <c r="E475" s="19"/>
      <c r="F475" s="12">
        <f>SUM(F473:F474)</f>
        <v>170500</v>
      </c>
      <c r="G475" s="12">
        <f t="shared" ref="G475:J475" si="117">SUM(G473:G474)</f>
        <v>0</v>
      </c>
      <c r="H475" s="12">
        <f t="shared" si="117"/>
        <v>179566.41</v>
      </c>
      <c r="I475" s="12">
        <f t="shared" si="117"/>
        <v>175112.32545454544</v>
      </c>
      <c r="J475" s="12">
        <f t="shared" si="117"/>
        <v>167000</v>
      </c>
      <c r="K475" s="114"/>
      <c r="L475"/>
    </row>
    <row r="476" spans="1:12" ht="15.75" thickTop="1">
      <c r="A476" s="19"/>
      <c r="B476" s="19"/>
      <c r="C476" s="19"/>
      <c r="D476" s="19"/>
      <c r="E476" s="19"/>
      <c r="F476" s="11"/>
      <c r="G476" s="11"/>
      <c r="H476" s="11"/>
      <c r="I476" s="30"/>
      <c r="J476" s="11"/>
      <c r="K476" s="114"/>
      <c r="L476"/>
    </row>
    <row r="477" spans="1:12">
      <c r="A477" s="19" t="s">
        <v>6</v>
      </c>
      <c r="B477" s="19"/>
      <c r="C477" s="19" t="s">
        <v>197</v>
      </c>
      <c r="D477" s="19"/>
      <c r="E477" s="19"/>
      <c r="F477" s="11" t="s">
        <v>6</v>
      </c>
      <c r="G477" s="11" t="s">
        <v>6</v>
      </c>
      <c r="H477" s="11" t="s">
        <v>6</v>
      </c>
      <c r="I477" s="30" t="s">
        <v>6</v>
      </c>
      <c r="J477" s="11" t="s">
        <v>6</v>
      </c>
      <c r="K477" s="114"/>
      <c r="L477"/>
    </row>
    <row r="478" spans="1:12" s="4" customFormat="1">
      <c r="A478" s="37" t="s">
        <v>392</v>
      </c>
      <c r="B478" s="37"/>
      <c r="C478" s="37" t="s">
        <v>207</v>
      </c>
      <c r="D478" s="37"/>
      <c r="E478" s="37"/>
      <c r="F478" s="39">
        <f>F475*0.0765</f>
        <v>13043.25</v>
      </c>
      <c r="G478" s="39">
        <f>G475*0.0765</f>
        <v>0</v>
      </c>
      <c r="H478" s="39">
        <v>13655.77</v>
      </c>
      <c r="I478" s="47">
        <f>H478+((I475-H475)*0.0765)</f>
        <v>13315.032532272726</v>
      </c>
      <c r="J478" s="47">
        <f>J475*0.0765</f>
        <v>12775.5</v>
      </c>
      <c r="K478" s="145"/>
    </row>
    <row r="479" spans="1:12" ht="15.75" thickBot="1">
      <c r="A479" s="19"/>
      <c r="B479" s="19"/>
      <c r="C479" s="19" t="s">
        <v>960</v>
      </c>
      <c r="D479" s="19"/>
      <c r="E479" s="19"/>
      <c r="F479" s="12">
        <f>SUM(F478)</f>
        <v>13043.25</v>
      </c>
      <c r="G479" s="12">
        <f t="shared" ref="G479:J479" si="118">SUM(G478)</f>
        <v>0</v>
      </c>
      <c r="H479" s="12">
        <f t="shared" si="118"/>
        <v>13655.77</v>
      </c>
      <c r="I479" s="12">
        <f t="shared" si="118"/>
        <v>13315.032532272726</v>
      </c>
      <c r="J479" s="12">
        <f t="shared" si="118"/>
        <v>12775.5</v>
      </c>
      <c r="K479" s="114"/>
      <c r="L479"/>
    </row>
    <row r="480" spans="1:12" ht="15.75" thickTop="1">
      <c r="A480" s="19"/>
      <c r="B480" s="19"/>
      <c r="C480" s="19"/>
      <c r="D480" s="19"/>
      <c r="E480" s="19"/>
      <c r="F480" s="20"/>
      <c r="G480" s="20"/>
      <c r="H480" s="20"/>
      <c r="J480" s="20"/>
      <c r="K480" s="114"/>
      <c r="L480"/>
    </row>
    <row r="481" spans="1:12" s="3" customFormat="1" ht="15.75" thickBot="1">
      <c r="A481" s="9"/>
      <c r="B481" s="9"/>
      <c r="C481" s="9" t="s">
        <v>953</v>
      </c>
      <c r="D481" s="9"/>
      <c r="E481" s="9"/>
      <c r="F481" s="34">
        <f>F475+F479</f>
        <v>183543.25</v>
      </c>
      <c r="G481" s="34">
        <f t="shared" ref="G481:J481" si="119">G475+G479</f>
        <v>0</v>
      </c>
      <c r="H481" s="34">
        <f t="shared" si="119"/>
        <v>193222.18</v>
      </c>
      <c r="I481" s="34">
        <f t="shared" si="119"/>
        <v>188427.35798681816</v>
      </c>
      <c r="J481" s="34">
        <f t="shared" si="119"/>
        <v>179775.5</v>
      </c>
      <c r="K481" s="109"/>
    </row>
    <row r="482" spans="1:12" ht="15.75" thickTop="1">
      <c r="A482" s="19"/>
      <c r="B482" s="19"/>
      <c r="C482" s="19"/>
      <c r="D482" s="19"/>
      <c r="E482" s="19"/>
      <c r="F482" s="20"/>
      <c r="G482" s="20"/>
      <c r="H482" s="20"/>
      <c r="J482" s="20"/>
      <c r="K482" s="143"/>
    </row>
    <row r="483" spans="1:12">
      <c r="A483" s="19"/>
      <c r="B483" s="19"/>
      <c r="C483" s="19" t="s">
        <v>199</v>
      </c>
      <c r="D483" s="19"/>
      <c r="E483" s="19"/>
      <c r="F483" s="20"/>
      <c r="G483" s="20"/>
      <c r="H483" s="20"/>
      <c r="J483" s="20"/>
      <c r="K483" s="143"/>
    </row>
    <row r="484" spans="1:12" s="4" customFormat="1">
      <c r="A484" s="37" t="s">
        <v>393</v>
      </c>
      <c r="B484" s="37"/>
      <c r="C484" s="37" t="s">
        <v>364</v>
      </c>
      <c r="D484" s="37"/>
      <c r="E484" s="37"/>
      <c r="F484" s="39">
        <v>4000</v>
      </c>
      <c r="G484" s="39">
        <v>0</v>
      </c>
      <c r="H484" s="39">
        <v>4354.59</v>
      </c>
      <c r="I484" s="39">
        <f t="shared" ref="I484" si="120">(H484/11)*12</f>
        <v>4750.4618181818187</v>
      </c>
      <c r="J484" s="39">
        <v>3000</v>
      </c>
      <c r="K484" s="145"/>
    </row>
    <row r="485" spans="1:12" s="3" customFormat="1" ht="15.75" thickBot="1">
      <c r="A485" s="9"/>
      <c r="B485" s="9"/>
      <c r="C485" s="9" t="s">
        <v>954</v>
      </c>
      <c r="D485" s="9"/>
      <c r="E485" s="9"/>
      <c r="F485" s="35">
        <f>SUM(F484)</f>
        <v>4000</v>
      </c>
      <c r="G485" s="35">
        <f t="shared" ref="G485:J485" si="121">SUM(G484)</f>
        <v>0</v>
      </c>
      <c r="H485" s="35">
        <f t="shared" si="121"/>
        <v>4354.59</v>
      </c>
      <c r="I485" s="35">
        <f t="shared" si="121"/>
        <v>4750.4618181818187</v>
      </c>
      <c r="J485" s="35">
        <f t="shared" si="121"/>
        <v>3000</v>
      </c>
      <c r="K485" s="109"/>
    </row>
    <row r="486" spans="1:12" ht="15.75" thickTop="1">
      <c r="A486" s="19"/>
      <c r="B486" s="19"/>
      <c r="C486" s="19"/>
      <c r="D486" s="19"/>
      <c r="E486" s="19"/>
      <c r="F486" s="20"/>
      <c r="G486" s="20"/>
      <c r="H486" s="20"/>
      <c r="J486" s="20"/>
      <c r="K486" s="114"/>
      <c r="L486"/>
    </row>
    <row r="487" spans="1:12">
      <c r="A487" s="19" t="s">
        <v>6</v>
      </c>
      <c r="B487" s="19"/>
      <c r="C487" s="19" t="s">
        <v>202</v>
      </c>
      <c r="D487" s="19"/>
      <c r="E487" s="19"/>
      <c r="F487" s="11" t="s">
        <v>6</v>
      </c>
      <c r="G487" s="11" t="s">
        <v>6</v>
      </c>
      <c r="H487" s="11"/>
      <c r="I487" s="30" t="s">
        <v>6</v>
      </c>
      <c r="J487" s="11" t="s">
        <v>6</v>
      </c>
      <c r="K487" s="143"/>
    </row>
    <row r="488" spans="1:12" s="4" customFormat="1">
      <c r="A488" s="37" t="s">
        <v>394</v>
      </c>
      <c r="B488" s="37"/>
      <c r="C488" s="37" t="s">
        <v>395</v>
      </c>
      <c r="D488" s="37"/>
      <c r="E488" s="37"/>
      <c r="F488" s="39">
        <v>30500</v>
      </c>
      <c r="G488" s="39">
        <v>0</v>
      </c>
      <c r="H488" s="39">
        <v>29035.5</v>
      </c>
      <c r="I488" s="39">
        <f t="shared" ref="I488" si="122">(H488/11)*12</f>
        <v>31675.090909090908</v>
      </c>
      <c r="J488" s="39">
        <v>30000</v>
      </c>
      <c r="K488" s="145"/>
    </row>
    <row r="489" spans="1:12" s="4" customFormat="1">
      <c r="A489" s="37" t="s">
        <v>794</v>
      </c>
      <c r="B489" s="37"/>
      <c r="C489" s="37" t="s">
        <v>202</v>
      </c>
      <c r="D489" s="37"/>
      <c r="E489" s="37"/>
      <c r="F489" s="39">
        <v>4000</v>
      </c>
      <c r="G489" s="39">
        <v>0</v>
      </c>
      <c r="H489" s="39">
        <v>1380</v>
      </c>
      <c r="I489" s="39">
        <v>1380</v>
      </c>
      <c r="J489" s="39">
        <v>1000</v>
      </c>
      <c r="K489" s="145"/>
    </row>
    <row r="490" spans="1:12" s="4" customFormat="1">
      <c r="A490" s="37" t="s">
        <v>511</v>
      </c>
      <c r="B490" s="37"/>
      <c r="C490" s="37" t="s">
        <v>1052</v>
      </c>
      <c r="D490" s="37"/>
      <c r="E490" s="37"/>
      <c r="F490" s="39">
        <v>7260</v>
      </c>
      <c r="G490" s="39">
        <v>0</v>
      </c>
      <c r="H490" s="39">
        <v>3340.62</v>
      </c>
      <c r="I490" s="39">
        <f t="shared" ref="I490:I491" si="123">(H490/11)*12</f>
        <v>3644.312727272727</v>
      </c>
      <c r="J490" s="39">
        <v>800</v>
      </c>
      <c r="K490" s="145"/>
    </row>
    <row r="491" spans="1:12">
      <c r="A491" s="19" t="s">
        <v>396</v>
      </c>
      <c r="B491" s="19"/>
      <c r="C491" s="19" t="s">
        <v>373</v>
      </c>
      <c r="D491" s="19"/>
      <c r="E491" s="19"/>
      <c r="F491" s="11">
        <v>7000</v>
      </c>
      <c r="G491" s="11">
        <v>0</v>
      </c>
      <c r="H491" s="11">
        <v>6450.24</v>
      </c>
      <c r="I491" s="39">
        <f t="shared" si="123"/>
        <v>7036.625454545454</v>
      </c>
      <c r="J491" s="11">
        <v>7000</v>
      </c>
      <c r="K491" s="114"/>
      <c r="L491"/>
    </row>
    <row r="492" spans="1:12" s="4" customFormat="1">
      <c r="A492" s="37" t="s">
        <v>397</v>
      </c>
      <c r="B492" s="37"/>
      <c r="C492" s="37" t="s">
        <v>398</v>
      </c>
      <c r="D492" s="37"/>
      <c r="E492" s="37"/>
      <c r="F492" s="39">
        <v>470</v>
      </c>
      <c r="G492" s="39">
        <v>0</v>
      </c>
      <c r="H492" s="39">
        <v>0</v>
      </c>
      <c r="I492" s="39">
        <f t="shared" ref="I492" si="124">H492+((H492/9)*3)</f>
        <v>0</v>
      </c>
      <c r="J492" s="39">
        <v>0</v>
      </c>
      <c r="K492" s="145"/>
    </row>
    <row r="493" spans="1:12" s="3" customFormat="1" ht="15.75" thickBot="1">
      <c r="A493" s="9"/>
      <c r="B493" s="9"/>
      <c r="C493" s="9" t="s">
        <v>955</v>
      </c>
      <c r="D493" s="9"/>
      <c r="E493" s="9"/>
      <c r="F493" s="35">
        <f>SUM(F488:F492)</f>
        <v>49230</v>
      </c>
      <c r="G493" s="35">
        <f t="shared" ref="G493:J493" si="125">SUM(G488:G492)</f>
        <v>0</v>
      </c>
      <c r="H493" s="35">
        <f t="shared" si="125"/>
        <v>40206.36</v>
      </c>
      <c r="I493" s="35">
        <f t="shared" si="125"/>
        <v>43736.029090909098</v>
      </c>
      <c r="J493" s="35">
        <f t="shared" si="125"/>
        <v>38800</v>
      </c>
      <c r="K493" s="109"/>
    </row>
    <row r="494" spans="1:12" ht="15.75" thickTop="1">
      <c r="A494" s="19"/>
      <c r="B494" s="19"/>
      <c r="C494" s="19"/>
      <c r="D494" s="19"/>
      <c r="E494" s="19"/>
      <c r="F494" s="20"/>
      <c r="G494" s="20"/>
      <c r="H494" s="20"/>
      <c r="J494" s="20"/>
      <c r="K494" s="143"/>
    </row>
    <row r="495" spans="1:12">
      <c r="A495" s="19" t="s">
        <v>6</v>
      </c>
      <c r="B495" s="19"/>
      <c r="C495" s="19" t="s">
        <v>204</v>
      </c>
      <c r="D495" s="19"/>
      <c r="E495" s="19"/>
      <c r="F495" s="11" t="s">
        <v>6</v>
      </c>
      <c r="G495" s="11" t="s">
        <v>6</v>
      </c>
      <c r="H495" s="11" t="s">
        <v>6</v>
      </c>
      <c r="I495" s="30" t="s">
        <v>6</v>
      </c>
      <c r="J495" s="11" t="s">
        <v>6</v>
      </c>
      <c r="K495" s="143"/>
    </row>
    <row r="496" spans="1:12" s="4" customFormat="1">
      <c r="A496" s="37" t="s">
        <v>399</v>
      </c>
      <c r="B496" s="37"/>
      <c r="C496" s="37" t="s">
        <v>204</v>
      </c>
      <c r="D496" s="37"/>
      <c r="E496" s="37"/>
      <c r="F496" s="39">
        <v>25000</v>
      </c>
      <c r="G496" s="39">
        <v>0</v>
      </c>
      <c r="H496" s="39">
        <v>19484.509999999998</v>
      </c>
      <c r="I496" s="39">
        <f t="shared" ref="I496:I501" si="126">(H496/11)*12</f>
        <v>21255.82909090909</v>
      </c>
      <c r="J496" s="39">
        <v>20000</v>
      </c>
      <c r="K496" s="145"/>
    </row>
    <row r="497" spans="1:12" s="4" customFormat="1">
      <c r="A497" s="37" t="s">
        <v>400</v>
      </c>
      <c r="B497" s="37"/>
      <c r="C497" s="37" t="s">
        <v>401</v>
      </c>
      <c r="D497" s="37"/>
      <c r="E497" s="37"/>
      <c r="F497" s="39">
        <v>10000</v>
      </c>
      <c r="G497" s="39">
        <v>0</v>
      </c>
      <c r="H497" s="39">
        <v>7101.71</v>
      </c>
      <c r="I497" s="39">
        <f t="shared" si="126"/>
        <v>7747.32</v>
      </c>
      <c r="J497" s="39">
        <v>8000</v>
      </c>
      <c r="K497" s="145"/>
    </row>
    <row r="498" spans="1:12" s="4" customFormat="1">
      <c r="A498" s="37" t="s">
        <v>402</v>
      </c>
      <c r="B498" s="37"/>
      <c r="C498" s="37" t="s">
        <v>403</v>
      </c>
      <c r="D498" s="37"/>
      <c r="E498" s="37"/>
      <c r="F498" s="39">
        <v>4000</v>
      </c>
      <c r="G498" s="39">
        <v>0</v>
      </c>
      <c r="H498" s="39">
        <v>3751.52</v>
      </c>
      <c r="I498" s="39">
        <f t="shared" si="126"/>
        <v>4092.5672727272731</v>
      </c>
      <c r="J498" s="39">
        <v>5000</v>
      </c>
      <c r="K498" s="145"/>
    </row>
    <row r="499" spans="1:12" s="4" customFormat="1">
      <c r="A499" s="37" t="s">
        <v>404</v>
      </c>
      <c r="B499" s="37"/>
      <c r="C499" s="37" t="s">
        <v>405</v>
      </c>
      <c r="D499" s="37"/>
      <c r="E499" s="37"/>
      <c r="F499" s="39">
        <v>0</v>
      </c>
      <c r="G499" s="39">
        <v>0</v>
      </c>
      <c r="H499" s="39">
        <v>5592.84</v>
      </c>
      <c r="I499" s="39">
        <f t="shared" si="126"/>
        <v>6101.28</v>
      </c>
      <c r="J499" s="39">
        <v>3000</v>
      </c>
      <c r="K499" s="145"/>
    </row>
    <row r="500" spans="1:12" s="4" customFormat="1">
      <c r="A500" s="37" t="s">
        <v>406</v>
      </c>
      <c r="B500" s="37"/>
      <c r="C500" s="37" t="s">
        <v>407</v>
      </c>
      <c r="D500" s="37"/>
      <c r="E500" s="37"/>
      <c r="F500" s="39">
        <v>14000</v>
      </c>
      <c r="G500" s="39">
        <v>0</v>
      </c>
      <c r="H500" s="39">
        <v>21232.41</v>
      </c>
      <c r="I500" s="39">
        <f t="shared" si="126"/>
        <v>23162.629090909089</v>
      </c>
      <c r="J500" s="47">
        <v>16000</v>
      </c>
      <c r="K500" s="145"/>
    </row>
    <row r="501" spans="1:12" s="4" customFormat="1">
      <c r="A501" s="37" t="s">
        <v>409</v>
      </c>
      <c r="B501" s="37"/>
      <c r="C501" s="37" t="s">
        <v>16</v>
      </c>
      <c r="D501" s="37"/>
      <c r="E501" s="37"/>
      <c r="F501" s="39">
        <v>1000</v>
      </c>
      <c r="G501" s="39">
        <v>0</v>
      </c>
      <c r="H501" s="39">
        <v>971.61</v>
      </c>
      <c r="I501" s="39">
        <f t="shared" si="126"/>
        <v>1059.9381818181819</v>
      </c>
      <c r="J501" s="39">
        <v>1000</v>
      </c>
      <c r="K501" s="145"/>
    </row>
    <row r="502" spans="1:12" s="3" customFormat="1" ht="15.75" thickBot="1">
      <c r="A502" s="9"/>
      <c r="B502" s="9"/>
      <c r="C502" s="9" t="s">
        <v>956</v>
      </c>
      <c r="D502" s="9"/>
      <c r="E502" s="9"/>
      <c r="F502" s="35">
        <f>SUM(F496:F501)</f>
        <v>54000</v>
      </c>
      <c r="G502" s="35">
        <f t="shared" ref="G502:J502" si="127">SUM(G496:G501)</f>
        <v>0</v>
      </c>
      <c r="H502" s="35">
        <f t="shared" si="127"/>
        <v>58134.600000000006</v>
      </c>
      <c r="I502" s="35">
        <f t="shared" si="127"/>
        <v>63419.563636363629</v>
      </c>
      <c r="J502" s="35">
        <f t="shared" si="127"/>
        <v>53000</v>
      </c>
      <c r="K502" s="109"/>
    </row>
    <row r="503" spans="1:12" ht="15.75" thickTop="1">
      <c r="A503" s="19"/>
      <c r="B503" s="19"/>
      <c r="C503" s="19"/>
      <c r="D503" s="19"/>
      <c r="E503" s="19"/>
      <c r="F503" s="20"/>
      <c r="G503" s="20"/>
      <c r="H503" s="20"/>
      <c r="I503" s="20"/>
      <c r="J503" s="20"/>
      <c r="K503" s="143"/>
    </row>
    <row r="504" spans="1:12">
      <c r="A504" s="19"/>
      <c r="B504" s="19"/>
      <c r="C504" s="19" t="s">
        <v>217</v>
      </c>
      <c r="D504" s="19"/>
      <c r="E504" s="19"/>
      <c r="F504" s="20"/>
      <c r="G504" s="20"/>
      <c r="H504" s="20"/>
      <c r="I504" s="20"/>
      <c r="J504" s="20"/>
      <c r="K504" s="143"/>
    </row>
    <row r="505" spans="1:12" s="4" customFormat="1" ht="39">
      <c r="A505" s="37" t="s">
        <v>852</v>
      </c>
      <c r="B505" s="37"/>
      <c r="C505" s="37" t="s">
        <v>853</v>
      </c>
      <c r="D505" s="37"/>
      <c r="E505" s="37"/>
      <c r="F505" s="39">
        <v>0</v>
      </c>
      <c r="G505" s="39">
        <v>0</v>
      </c>
      <c r="H505" s="39">
        <v>67555.12</v>
      </c>
      <c r="I505" s="39">
        <f t="shared" ref="I505:I509" si="128">(H505/11)*12</f>
        <v>73696.494545454538</v>
      </c>
      <c r="J505" s="39">
        <v>0</v>
      </c>
      <c r="K505" s="158" t="s">
        <v>925</v>
      </c>
    </row>
    <row r="506" spans="1:12">
      <c r="A506" s="19" t="s">
        <v>512</v>
      </c>
      <c r="B506" s="19"/>
      <c r="C506" s="19" t="s">
        <v>344</v>
      </c>
      <c r="D506" s="19"/>
      <c r="E506" s="19"/>
      <c r="F506" s="11">
        <v>15000</v>
      </c>
      <c r="G506" s="11">
        <v>0</v>
      </c>
      <c r="H506" s="11">
        <v>7037.85</v>
      </c>
      <c r="I506" s="39">
        <f t="shared" si="128"/>
        <v>7677.6545454545467</v>
      </c>
      <c r="J506" s="11">
        <v>8000</v>
      </c>
      <c r="K506" s="114"/>
      <c r="L506"/>
    </row>
    <row r="507" spans="1:12">
      <c r="A507" s="19" t="s">
        <v>513</v>
      </c>
      <c r="B507" s="19"/>
      <c r="C507" s="19" t="s">
        <v>514</v>
      </c>
      <c r="D507" s="19"/>
      <c r="E507" s="19"/>
      <c r="F507" s="11">
        <v>10000</v>
      </c>
      <c r="G507" s="11">
        <v>0</v>
      </c>
      <c r="H507" s="11">
        <v>3377.13</v>
      </c>
      <c r="I507" s="39">
        <f t="shared" si="128"/>
        <v>3684.1418181818181</v>
      </c>
      <c r="J507" s="11">
        <v>5000</v>
      </c>
      <c r="K507" s="114"/>
      <c r="L507"/>
    </row>
    <row r="508" spans="1:12">
      <c r="A508" s="19" t="s">
        <v>410</v>
      </c>
      <c r="B508" s="19"/>
      <c r="C508" s="19" t="s">
        <v>411</v>
      </c>
      <c r="D508" s="19"/>
      <c r="E508" s="19"/>
      <c r="F508" s="11">
        <v>2400</v>
      </c>
      <c r="G508" s="11">
        <v>0</v>
      </c>
      <c r="H508" s="11">
        <v>2289.9499999999998</v>
      </c>
      <c r="I508" s="39">
        <f t="shared" si="128"/>
        <v>2498.1272727272726</v>
      </c>
      <c r="J508" s="11">
        <v>2400</v>
      </c>
      <c r="K508" s="114"/>
      <c r="L508"/>
    </row>
    <row r="509" spans="1:12">
      <c r="A509" s="19" t="s">
        <v>412</v>
      </c>
      <c r="B509" s="19"/>
      <c r="C509" s="19" t="s">
        <v>413</v>
      </c>
      <c r="D509" s="19"/>
      <c r="E509" s="19"/>
      <c r="F509" s="11">
        <v>1500</v>
      </c>
      <c r="G509" s="11">
        <v>0</v>
      </c>
      <c r="H509" s="11">
        <v>62.46</v>
      </c>
      <c r="I509" s="39">
        <f t="shared" si="128"/>
        <v>68.13818181818182</v>
      </c>
      <c r="J509" s="11">
        <v>1500</v>
      </c>
      <c r="K509" s="114"/>
      <c r="L509"/>
    </row>
    <row r="510" spans="1:12" s="3" customFormat="1" ht="15.75" thickBot="1">
      <c r="A510" s="9"/>
      <c r="B510" s="9"/>
      <c r="C510" s="9" t="s">
        <v>961</v>
      </c>
      <c r="D510" s="9"/>
      <c r="E510" s="9"/>
      <c r="F510" s="35">
        <f>SUM(F505:F509)</f>
        <v>28900</v>
      </c>
      <c r="G510" s="35">
        <f t="shared" ref="G510:J510" si="129">SUM(G505:G509)</f>
        <v>0</v>
      </c>
      <c r="H510" s="35">
        <f t="shared" si="129"/>
        <v>80322.510000000009</v>
      </c>
      <c r="I510" s="35">
        <f t="shared" si="129"/>
        <v>87624.556363636351</v>
      </c>
      <c r="J510" s="35">
        <f t="shared" si="129"/>
        <v>16900</v>
      </c>
      <c r="K510" s="109"/>
    </row>
    <row r="511" spans="1:12" ht="15.75" thickTop="1">
      <c r="A511" s="19"/>
      <c r="B511" s="19"/>
      <c r="C511" s="19"/>
      <c r="D511" s="19"/>
      <c r="E511" s="19"/>
      <c r="F511" s="20"/>
      <c r="G511" s="20"/>
      <c r="H511" s="20"/>
      <c r="I511" s="20"/>
      <c r="J511" s="20"/>
      <c r="K511" s="143"/>
    </row>
    <row r="512" spans="1:12">
      <c r="A512" s="19"/>
      <c r="B512" s="19"/>
      <c r="C512" s="19" t="s">
        <v>24</v>
      </c>
      <c r="D512" s="19"/>
      <c r="E512" s="19"/>
      <c r="F512" s="20"/>
      <c r="G512" s="20"/>
      <c r="H512" s="20"/>
      <c r="I512" s="20"/>
      <c r="J512" s="20"/>
      <c r="K512" s="143"/>
    </row>
    <row r="513" spans="1:12" s="4" customFormat="1">
      <c r="A513" s="37" t="s">
        <v>515</v>
      </c>
      <c r="B513" s="37"/>
      <c r="C513" s="37" t="s">
        <v>324</v>
      </c>
      <c r="D513" s="37"/>
      <c r="E513" s="37"/>
      <c r="F513" s="39">
        <v>50000</v>
      </c>
      <c r="G513" s="39">
        <v>0</v>
      </c>
      <c r="H513" s="39">
        <v>6712.25</v>
      </c>
      <c r="I513" s="39">
        <v>1247</v>
      </c>
      <c r="J513" s="39">
        <v>0</v>
      </c>
      <c r="K513" s="145"/>
      <c r="L513" s="39"/>
    </row>
    <row r="514" spans="1:12" s="3" customFormat="1" ht="15.75" thickBot="1">
      <c r="A514" s="9"/>
      <c r="B514" s="9"/>
      <c r="C514" s="9" t="s">
        <v>980</v>
      </c>
      <c r="D514" s="9"/>
      <c r="E514" s="9"/>
      <c r="F514" s="35">
        <f t="shared" ref="F514:J514" si="130">SUM(F513:F513)</f>
        <v>50000</v>
      </c>
      <c r="G514" s="35">
        <f t="shared" si="130"/>
        <v>0</v>
      </c>
      <c r="H514" s="35">
        <f t="shared" si="130"/>
        <v>6712.25</v>
      </c>
      <c r="I514" s="35">
        <f t="shared" si="130"/>
        <v>1247</v>
      </c>
      <c r="J514" s="35">
        <f t="shared" si="130"/>
        <v>0</v>
      </c>
      <c r="K514" s="109"/>
    </row>
    <row r="515" spans="1:12" ht="15.75" thickTop="1">
      <c r="A515" s="19"/>
      <c r="B515" s="19"/>
      <c r="C515" s="19"/>
      <c r="D515" s="19"/>
      <c r="E515" s="19"/>
      <c r="F515" s="20"/>
      <c r="G515" s="20"/>
      <c r="H515" s="20"/>
      <c r="I515" s="20"/>
      <c r="J515" s="20"/>
      <c r="K515" s="114"/>
      <c r="L515"/>
    </row>
    <row r="516" spans="1:12">
      <c r="A516" s="19"/>
      <c r="B516" s="19"/>
      <c r="C516" s="19" t="s">
        <v>30</v>
      </c>
      <c r="D516" s="19"/>
      <c r="E516" s="19"/>
      <c r="F516" s="20"/>
      <c r="G516" s="20"/>
      <c r="H516" s="20"/>
      <c r="I516" s="20"/>
      <c r="J516" s="20"/>
      <c r="K516" s="114"/>
      <c r="L516"/>
    </row>
    <row r="517" spans="1:12" s="4" customFormat="1" ht="26.25">
      <c r="A517" s="37" t="s">
        <v>845</v>
      </c>
      <c r="B517" s="37"/>
      <c r="C517" s="37" t="s">
        <v>983</v>
      </c>
      <c r="D517" s="37"/>
      <c r="E517" s="37"/>
      <c r="F517" s="39">
        <v>0</v>
      </c>
      <c r="G517" s="39">
        <v>0</v>
      </c>
      <c r="H517" s="39">
        <v>0</v>
      </c>
      <c r="I517" s="39">
        <v>0</v>
      </c>
      <c r="J517" s="39">
        <v>10694</v>
      </c>
      <c r="K517" s="144" t="s">
        <v>936</v>
      </c>
    </row>
    <row r="518" spans="1:12" s="3" customFormat="1" ht="15.75" thickBot="1">
      <c r="A518" s="9"/>
      <c r="B518" s="9"/>
      <c r="C518" s="9" t="s">
        <v>974</v>
      </c>
      <c r="D518" s="9"/>
      <c r="E518" s="9"/>
      <c r="F518" s="35">
        <f>SUM(F517)</f>
        <v>0</v>
      </c>
      <c r="G518" s="35">
        <f t="shared" ref="G518:J518" si="131">SUM(G517)</f>
        <v>0</v>
      </c>
      <c r="H518" s="35">
        <f t="shared" si="131"/>
        <v>0</v>
      </c>
      <c r="I518" s="35">
        <f t="shared" si="131"/>
        <v>0</v>
      </c>
      <c r="J518" s="35">
        <f t="shared" si="131"/>
        <v>10694</v>
      </c>
      <c r="K518" s="109"/>
    </row>
    <row r="519" spans="1:12" ht="15.75" thickTop="1">
      <c r="A519" s="19"/>
      <c r="B519" s="19"/>
      <c r="C519" s="19"/>
      <c r="D519" s="19"/>
      <c r="E519" s="19"/>
      <c r="F519" s="20"/>
      <c r="G519" s="20"/>
      <c r="H519" s="20"/>
      <c r="I519" s="20"/>
      <c r="J519" s="20"/>
      <c r="K519" s="143"/>
    </row>
    <row r="520" spans="1:12" ht="15.75" thickBot="1">
      <c r="A520" s="19"/>
      <c r="B520" s="19"/>
      <c r="C520" s="9" t="s">
        <v>984</v>
      </c>
      <c r="D520" s="9"/>
      <c r="E520" s="9"/>
      <c r="F520" s="34">
        <f>F481+F485+F493+F502+F510+F514+F518</f>
        <v>369673.25</v>
      </c>
      <c r="G520" s="34">
        <f t="shared" ref="G520:J520" si="132">G481+G485+G493+G502+G510+G514+G518</f>
        <v>0</v>
      </c>
      <c r="H520" s="34">
        <f t="shared" si="132"/>
        <v>382952.49</v>
      </c>
      <c r="I520" s="34">
        <f t="shared" si="132"/>
        <v>389204.96889590909</v>
      </c>
      <c r="J520" s="34">
        <f t="shared" si="132"/>
        <v>302169.5</v>
      </c>
      <c r="K520" s="114"/>
      <c r="L520"/>
    </row>
    <row r="521" spans="1:12" ht="15.75" thickTop="1">
      <c r="A521" s="19"/>
      <c r="B521" s="19"/>
      <c r="C521" s="9"/>
      <c r="D521" s="9"/>
      <c r="E521" s="9"/>
      <c r="F521" s="54"/>
      <c r="G521" s="54"/>
      <c r="H521" s="54"/>
      <c r="I521" s="54"/>
      <c r="J521" s="54"/>
      <c r="K521" s="114"/>
      <c r="L521"/>
    </row>
    <row r="522" spans="1:12">
      <c r="A522" s="19"/>
      <c r="B522" s="19"/>
      <c r="C522" s="9"/>
      <c r="D522" s="9"/>
      <c r="E522" s="9"/>
      <c r="F522" s="54"/>
      <c r="G522" s="54"/>
      <c r="H522" s="54"/>
      <c r="I522" s="54"/>
      <c r="J522" s="54"/>
      <c r="K522" s="114"/>
      <c r="L522"/>
    </row>
    <row r="523" spans="1:12">
      <c r="A523" s="250" t="s">
        <v>1014</v>
      </c>
      <c r="B523" s="250"/>
      <c r="C523" s="250"/>
      <c r="D523" s="250"/>
      <c r="E523" s="250"/>
      <c r="F523" s="250"/>
      <c r="G523" s="250"/>
      <c r="H523" s="250"/>
      <c r="I523" s="250"/>
      <c r="J523" s="250"/>
      <c r="K523" s="250"/>
      <c r="L523"/>
    </row>
    <row r="524" spans="1:12">
      <c r="A524" s="19"/>
      <c r="B524" s="19"/>
      <c r="C524" s="19" t="s">
        <v>196</v>
      </c>
      <c r="D524" s="19"/>
      <c r="E524" s="19"/>
      <c r="F524" s="20"/>
      <c r="G524" s="20"/>
      <c r="H524" s="20"/>
      <c r="I524" s="20"/>
      <c r="J524" s="20"/>
      <c r="K524" s="114"/>
      <c r="L524"/>
    </row>
    <row r="525" spans="1:12" s="4" customFormat="1">
      <c r="A525" s="37" t="s">
        <v>414</v>
      </c>
      <c r="B525" s="37"/>
      <c r="C525" s="37" t="s">
        <v>415</v>
      </c>
      <c r="D525" s="37"/>
      <c r="E525" s="37"/>
      <c r="F525" s="39">
        <v>54839</v>
      </c>
      <c r="G525" s="39">
        <v>0</v>
      </c>
      <c r="H525" s="39">
        <v>56612.29</v>
      </c>
      <c r="I525" s="39">
        <v>53953.33</v>
      </c>
      <c r="J525" s="39">
        <v>48000</v>
      </c>
      <c r="K525" s="145"/>
    </row>
    <row r="526" spans="1:12" ht="15.75" thickBot="1">
      <c r="A526" s="19" t="s">
        <v>6</v>
      </c>
      <c r="B526" s="19"/>
      <c r="C526" s="19" t="s">
        <v>959</v>
      </c>
      <c r="D526" s="19"/>
      <c r="E526" s="19"/>
      <c r="F526" s="12">
        <f>SUM(F525)</f>
        <v>54839</v>
      </c>
      <c r="G526" s="12">
        <f t="shared" ref="G526:J526" si="133">SUM(G525)</f>
        <v>0</v>
      </c>
      <c r="H526" s="12">
        <f t="shared" si="133"/>
        <v>56612.29</v>
      </c>
      <c r="I526" s="12">
        <f t="shared" si="133"/>
        <v>53953.33</v>
      </c>
      <c r="J526" s="12">
        <f t="shared" si="133"/>
        <v>48000</v>
      </c>
      <c r="K526" s="114"/>
      <c r="L526"/>
    </row>
    <row r="527" spans="1:12" ht="15.75" thickTop="1">
      <c r="A527" s="19"/>
      <c r="B527" s="19"/>
      <c r="C527" s="19"/>
      <c r="D527" s="19"/>
      <c r="E527" s="19"/>
      <c r="F527" s="11"/>
      <c r="G527" s="11"/>
      <c r="H527" s="11"/>
      <c r="I527" s="11"/>
      <c r="J527" s="11"/>
      <c r="K527" s="114"/>
      <c r="L527"/>
    </row>
    <row r="528" spans="1:12">
      <c r="A528" s="19" t="s">
        <v>6</v>
      </c>
      <c r="B528" s="19"/>
      <c r="C528" s="19" t="s">
        <v>197</v>
      </c>
      <c r="D528" s="19"/>
      <c r="E528" s="19"/>
      <c r="F528" s="11" t="s">
        <v>6</v>
      </c>
      <c r="G528" s="11" t="s">
        <v>6</v>
      </c>
      <c r="H528" s="11" t="s">
        <v>6</v>
      </c>
      <c r="I528" s="11" t="s">
        <v>6</v>
      </c>
      <c r="J528" s="11" t="s">
        <v>6</v>
      </c>
      <c r="K528" s="114"/>
      <c r="L528"/>
    </row>
    <row r="529" spans="1:12" s="4" customFormat="1">
      <c r="A529" s="37" t="s">
        <v>416</v>
      </c>
      <c r="B529" s="37"/>
      <c r="C529" s="37" t="s">
        <v>207</v>
      </c>
      <c r="D529" s="37"/>
      <c r="E529" s="37"/>
      <c r="F529" s="39">
        <v>4195</v>
      </c>
      <c r="G529" s="39">
        <v>0</v>
      </c>
      <c r="H529" s="39">
        <v>4383.57</v>
      </c>
      <c r="I529" s="39">
        <f>I526*0.0765</f>
        <v>4127.4297450000004</v>
      </c>
      <c r="J529" s="39">
        <f>J526*0.0765</f>
        <v>3672</v>
      </c>
      <c r="K529" s="145"/>
    </row>
    <row r="530" spans="1:12" ht="15.75" thickBot="1">
      <c r="A530" s="19" t="s">
        <v>6</v>
      </c>
      <c r="B530" s="19"/>
      <c r="C530" s="19" t="s">
        <v>960</v>
      </c>
      <c r="D530" s="19"/>
      <c r="E530" s="19"/>
      <c r="F530" s="12">
        <f>SUM(F529)</f>
        <v>4195</v>
      </c>
      <c r="G530" s="12">
        <f t="shared" ref="G530:J530" si="134">SUM(G529)</f>
        <v>0</v>
      </c>
      <c r="H530" s="12">
        <f t="shared" si="134"/>
        <v>4383.57</v>
      </c>
      <c r="I530" s="12">
        <f t="shared" si="134"/>
        <v>4127.4297450000004</v>
      </c>
      <c r="J530" s="12">
        <f t="shared" si="134"/>
        <v>3672</v>
      </c>
      <c r="K530" s="114"/>
      <c r="L530"/>
    </row>
    <row r="531" spans="1:12" ht="15.75" thickTop="1">
      <c r="A531" s="19"/>
      <c r="B531" s="19"/>
      <c r="C531" s="19"/>
      <c r="D531" s="19"/>
      <c r="E531" s="19"/>
      <c r="F531" s="11"/>
      <c r="G531" s="11"/>
      <c r="H531" s="11"/>
      <c r="I531" s="11"/>
      <c r="J531" s="11"/>
      <c r="K531" s="114"/>
      <c r="L531"/>
    </row>
    <row r="532" spans="1:12" s="3" customFormat="1" ht="15.75" thickBot="1">
      <c r="A532" s="9"/>
      <c r="B532" s="9"/>
      <c r="C532" s="9" t="s">
        <v>953</v>
      </c>
      <c r="D532" s="9"/>
      <c r="E532" s="9"/>
      <c r="F532" s="35">
        <f>F526+F530</f>
        <v>59034</v>
      </c>
      <c r="G532" s="35">
        <f t="shared" ref="G532:J532" si="135">G526+G530</f>
        <v>0</v>
      </c>
      <c r="H532" s="35">
        <f t="shared" si="135"/>
        <v>60995.86</v>
      </c>
      <c r="I532" s="35">
        <f t="shared" si="135"/>
        <v>58080.759745000003</v>
      </c>
      <c r="J532" s="35">
        <f t="shared" si="135"/>
        <v>51672</v>
      </c>
      <c r="K532" s="109"/>
    </row>
    <row r="533" spans="1:12" ht="15.75" thickTop="1">
      <c r="A533" s="19"/>
      <c r="B533" s="19"/>
      <c r="C533" s="19"/>
      <c r="D533" s="19"/>
      <c r="E533" s="19"/>
      <c r="F533" s="11"/>
      <c r="G533" s="11"/>
      <c r="H533" s="11"/>
      <c r="I533" s="11"/>
      <c r="J533" s="11"/>
      <c r="K533" s="143"/>
    </row>
    <row r="534" spans="1:12">
      <c r="A534" s="19" t="s">
        <v>6</v>
      </c>
      <c r="B534" s="19"/>
      <c r="C534" s="19" t="s">
        <v>202</v>
      </c>
      <c r="D534" s="19"/>
      <c r="E534" s="19"/>
      <c r="F534" s="11" t="s">
        <v>6</v>
      </c>
      <c r="G534" s="11" t="s">
        <v>6</v>
      </c>
      <c r="H534" s="11" t="s">
        <v>6</v>
      </c>
      <c r="I534" s="11" t="s">
        <v>6</v>
      </c>
      <c r="J534" s="11" t="s">
        <v>6</v>
      </c>
      <c r="K534" s="143"/>
    </row>
    <row r="535" spans="1:12" s="4" customFormat="1">
      <c r="A535" s="37" t="s">
        <v>417</v>
      </c>
      <c r="B535" s="37"/>
      <c r="C535" s="37" t="s">
        <v>19</v>
      </c>
      <c r="D535" s="37"/>
      <c r="E535" s="37"/>
      <c r="F535" s="39">
        <v>2500</v>
      </c>
      <c r="G535" s="39">
        <v>0</v>
      </c>
      <c r="H535" s="39">
        <v>3394</v>
      </c>
      <c r="I535" s="39">
        <f t="shared" ref="I535:I536" si="136">(H535/11)*12</f>
        <v>3702.545454545455</v>
      </c>
      <c r="J535" s="39">
        <v>2600</v>
      </c>
      <c r="K535" s="145"/>
    </row>
    <row r="536" spans="1:12" s="4" customFormat="1">
      <c r="A536" s="37" t="s">
        <v>418</v>
      </c>
      <c r="B536" s="37"/>
      <c r="C536" s="37" t="s">
        <v>419</v>
      </c>
      <c r="D536" s="37"/>
      <c r="E536" s="37"/>
      <c r="F536" s="39">
        <v>1000</v>
      </c>
      <c r="G536" s="39">
        <v>0</v>
      </c>
      <c r="H536" s="39">
        <v>1529.79</v>
      </c>
      <c r="I536" s="39">
        <f t="shared" si="136"/>
        <v>1668.8618181818181</v>
      </c>
      <c r="J536" s="39">
        <v>1500</v>
      </c>
      <c r="K536" s="145"/>
    </row>
    <row r="537" spans="1:12" s="3" customFormat="1" ht="15.75" thickBot="1">
      <c r="A537" s="9" t="s">
        <v>6</v>
      </c>
      <c r="B537" s="9"/>
      <c r="C537" s="9" t="s">
        <v>955</v>
      </c>
      <c r="D537" s="9"/>
      <c r="E537" s="9"/>
      <c r="F537" s="35">
        <f>SUM(F535:F536)</f>
        <v>3500</v>
      </c>
      <c r="G537" s="35">
        <f t="shared" ref="G537:J537" si="137">SUM(G535:G536)</f>
        <v>0</v>
      </c>
      <c r="H537" s="35">
        <f t="shared" si="137"/>
        <v>4923.79</v>
      </c>
      <c r="I537" s="35">
        <f t="shared" si="137"/>
        <v>5371.4072727272733</v>
      </c>
      <c r="J537" s="35">
        <f t="shared" si="137"/>
        <v>4100</v>
      </c>
      <c r="K537" s="109"/>
    </row>
    <row r="538" spans="1:12" ht="15.75" thickTop="1">
      <c r="A538" s="19"/>
      <c r="B538" s="19"/>
      <c r="C538" s="19"/>
      <c r="D538" s="19"/>
      <c r="E538" s="19"/>
      <c r="F538" s="11"/>
      <c r="G538" s="11"/>
      <c r="H538" s="11"/>
      <c r="I538" s="11"/>
      <c r="J538" s="11"/>
      <c r="K538" s="114"/>
      <c r="L538"/>
    </row>
    <row r="539" spans="1:12">
      <c r="A539" s="19" t="s">
        <v>6</v>
      </c>
      <c r="B539" s="19"/>
      <c r="C539" s="19" t="s">
        <v>204</v>
      </c>
      <c r="D539" s="19"/>
      <c r="E539" s="19"/>
      <c r="F539" s="11" t="s">
        <v>6</v>
      </c>
      <c r="G539" s="11" t="s">
        <v>6</v>
      </c>
      <c r="H539" s="11" t="s">
        <v>6</v>
      </c>
      <c r="I539" s="11" t="s">
        <v>6</v>
      </c>
      <c r="J539" s="11" t="s">
        <v>6</v>
      </c>
      <c r="K539" s="114"/>
      <c r="L539"/>
    </row>
    <row r="540" spans="1:12">
      <c r="A540" s="19" t="s">
        <v>420</v>
      </c>
      <c r="B540" s="19"/>
      <c r="C540" s="19" t="s">
        <v>275</v>
      </c>
      <c r="D540" s="19"/>
      <c r="E540" s="19"/>
      <c r="F540" s="11">
        <v>2000</v>
      </c>
      <c r="G540" s="11">
        <v>0</v>
      </c>
      <c r="H540" s="11">
        <v>1164.1600000000001</v>
      </c>
      <c r="I540" s="39">
        <f t="shared" ref="I540" si="138">(H540/11)*12</f>
        <v>1269.9927272727273</v>
      </c>
      <c r="J540" s="11">
        <v>2000</v>
      </c>
      <c r="K540" s="114"/>
      <c r="L540"/>
    </row>
    <row r="541" spans="1:12" s="3" customFormat="1" ht="15.75" thickBot="1">
      <c r="A541" s="9" t="s">
        <v>6</v>
      </c>
      <c r="B541" s="9"/>
      <c r="C541" s="9" t="s">
        <v>956</v>
      </c>
      <c r="D541" s="9"/>
      <c r="E541" s="9"/>
      <c r="F541" s="35">
        <f>SUM(F540)</f>
        <v>2000</v>
      </c>
      <c r="G541" s="35">
        <f t="shared" ref="G541:J541" si="139">SUM(G540)</f>
        <v>0</v>
      </c>
      <c r="H541" s="35">
        <f t="shared" si="139"/>
        <v>1164.1600000000001</v>
      </c>
      <c r="I541" s="35">
        <f t="shared" si="139"/>
        <v>1269.9927272727273</v>
      </c>
      <c r="J541" s="35">
        <f t="shared" si="139"/>
        <v>2000</v>
      </c>
      <c r="K541" s="109"/>
    </row>
    <row r="542" spans="1:12" ht="15.75" thickTop="1">
      <c r="A542" s="19"/>
      <c r="B542" s="19"/>
      <c r="C542" s="19"/>
      <c r="D542" s="19"/>
      <c r="E542" s="19"/>
      <c r="F542" s="11"/>
      <c r="G542" s="11"/>
      <c r="H542" s="11"/>
      <c r="I542" s="11"/>
      <c r="J542" s="11"/>
      <c r="K542" s="114"/>
      <c r="L542"/>
    </row>
    <row r="543" spans="1:12">
      <c r="A543" s="19" t="s">
        <v>6</v>
      </c>
      <c r="B543" s="19"/>
      <c r="C543" s="19" t="s">
        <v>217</v>
      </c>
      <c r="D543" s="19"/>
      <c r="E543" s="19"/>
      <c r="F543" s="11" t="s">
        <v>6</v>
      </c>
      <c r="G543" s="11" t="s">
        <v>6</v>
      </c>
      <c r="H543" s="11" t="s">
        <v>6</v>
      </c>
      <c r="I543" s="11" t="s">
        <v>6</v>
      </c>
      <c r="J543" s="11" t="s">
        <v>6</v>
      </c>
      <c r="K543" s="114"/>
      <c r="L543"/>
    </row>
    <row r="544" spans="1:12">
      <c r="A544" s="19" t="s">
        <v>421</v>
      </c>
      <c r="B544" s="19"/>
      <c r="C544" s="19" t="s">
        <v>422</v>
      </c>
      <c r="D544" s="19"/>
      <c r="E544" s="19"/>
      <c r="F544" s="11">
        <v>1500</v>
      </c>
      <c r="G544" s="11">
        <v>0</v>
      </c>
      <c r="H544" s="11">
        <v>1079.05</v>
      </c>
      <c r="I544" s="39">
        <f t="shared" ref="I544" si="140">(H544/11)*12</f>
        <v>1177.1454545454544</v>
      </c>
      <c r="J544" s="11">
        <v>1500</v>
      </c>
      <c r="K544" s="114"/>
      <c r="L544"/>
    </row>
    <row r="545" spans="1:12" s="3" customFormat="1" ht="15.75" thickBot="1">
      <c r="A545" s="9" t="s">
        <v>6</v>
      </c>
      <c r="B545" s="9"/>
      <c r="C545" s="9" t="s">
        <v>961</v>
      </c>
      <c r="D545" s="9"/>
      <c r="E545" s="9"/>
      <c r="F545" s="35">
        <f>SUM(F544)</f>
        <v>1500</v>
      </c>
      <c r="G545" s="35">
        <f t="shared" ref="G545:J545" si="141">SUM(G544)</f>
        <v>0</v>
      </c>
      <c r="H545" s="35">
        <f t="shared" si="141"/>
        <v>1079.05</v>
      </c>
      <c r="I545" s="35">
        <f t="shared" si="141"/>
        <v>1177.1454545454544</v>
      </c>
      <c r="J545" s="35">
        <f t="shared" si="141"/>
        <v>1500</v>
      </c>
      <c r="K545" s="109"/>
    </row>
    <row r="546" spans="1:12" ht="15.75" thickTop="1">
      <c r="A546" s="19"/>
      <c r="B546" s="19"/>
      <c r="C546" s="19"/>
      <c r="D546" s="19"/>
      <c r="E546" s="19"/>
      <c r="F546" s="11"/>
      <c r="G546" s="11"/>
      <c r="H546" s="11"/>
      <c r="I546" s="11"/>
      <c r="J546" s="11"/>
      <c r="K546" s="143"/>
    </row>
    <row r="547" spans="1:12">
      <c r="A547" s="19" t="s">
        <v>6</v>
      </c>
      <c r="B547" s="19"/>
      <c r="C547" s="19" t="s">
        <v>24</v>
      </c>
      <c r="D547" s="19"/>
      <c r="E547" s="19"/>
      <c r="F547" s="11" t="s">
        <v>6</v>
      </c>
      <c r="G547" s="11" t="s">
        <v>6</v>
      </c>
      <c r="H547" s="11" t="s">
        <v>6</v>
      </c>
      <c r="I547" s="11" t="s">
        <v>6</v>
      </c>
      <c r="J547" s="11" t="s">
        <v>6</v>
      </c>
      <c r="K547" s="143"/>
    </row>
    <row r="548" spans="1:12" s="4" customFormat="1">
      <c r="A548" s="37" t="s">
        <v>520</v>
      </c>
      <c r="B548" s="37"/>
      <c r="C548" s="37" t="s">
        <v>324</v>
      </c>
      <c r="D548" s="37"/>
      <c r="E548" s="37"/>
      <c r="F548" s="39">
        <v>25000</v>
      </c>
      <c r="G548" s="39">
        <v>0</v>
      </c>
      <c r="H548" s="39">
        <v>21489.759999999998</v>
      </c>
      <c r="I548" s="39">
        <v>21439.759999999998</v>
      </c>
      <c r="J548" s="39">
        <v>0</v>
      </c>
      <c r="K548" s="145"/>
      <c r="L548" s="39"/>
    </row>
    <row r="549" spans="1:12" s="3" customFormat="1" ht="15.75" thickBot="1">
      <c r="A549" s="121"/>
      <c r="B549" s="9"/>
      <c r="C549" s="9" t="s">
        <v>980</v>
      </c>
      <c r="D549" s="9"/>
      <c r="E549" s="9"/>
      <c r="F549" s="35">
        <f>SUM(F548)</f>
        <v>25000</v>
      </c>
      <c r="G549" s="35">
        <f t="shared" ref="G549:J549" si="142">SUM(G548)</f>
        <v>0</v>
      </c>
      <c r="H549" s="35">
        <f t="shared" si="142"/>
        <v>21489.759999999998</v>
      </c>
      <c r="I549" s="35">
        <f t="shared" si="142"/>
        <v>21439.759999999998</v>
      </c>
      <c r="J549" s="35">
        <f t="shared" si="142"/>
        <v>0</v>
      </c>
      <c r="K549" s="109"/>
    </row>
    <row r="550" spans="1:12" ht="15.75" thickTop="1">
      <c r="A550" s="19"/>
      <c r="B550" s="19"/>
      <c r="C550" s="19"/>
      <c r="D550" s="19"/>
      <c r="E550" s="19"/>
      <c r="F550" s="20"/>
      <c r="G550" s="20"/>
      <c r="H550" s="20"/>
      <c r="I550" s="20"/>
      <c r="J550" s="20"/>
      <c r="K550" s="114"/>
      <c r="L550"/>
    </row>
    <row r="551" spans="1:12">
      <c r="A551" s="19"/>
      <c r="B551" s="19"/>
      <c r="C551" s="19" t="s">
        <v>30</v>
      </c>
      <c r="D551" s="19"/>
      <c r="E551" s="19"/>
      <c r="F551" s="20"/>
      <c r="G551" s="20"/>
      <c r="H551" s="20"/>
      <c r="I551" s="20"/>
      <c r="J551" s="20"/>
      <c r="K551" s="114"/>
      <c r="L551"/>
    </row>
    <row r="552" spans="1:12">
      <c r="A552" s="19" t="s">
        <v>845</v>
      </c>
      <c r="B552" s="19"/>
      <c r="C552" s="19" t="s">
        <v>985</v>
      </c>
      <c r="D552" s="19"/>
      <c r="E552" s="19"/>
      <c r="F552" s="11">
        <v>0</v>
      </c>
      <c r="G552" s="11">
        <v>0</v>
      </c>
      <c r="H552" s="11">
        <v>0</v>
      </c>
      <c r="I552" s="11">
        <v>0</v>
      </c>
      <c r="J552" s="11">
        <v>0</v>
      </c>
      <c r="K552" s="114"/>
      <c r="L552"/>
    </row>
    <row r="553" spans="1:12" s="3" customFormat="1" ht="15.75" thickBot="1">
      <c r="A553" s="9" t="s">
        <v>6</v>
      </c>
      <c r="B553" s="9"/>
      <c r="C553" s="9" t="s">
        <v>974</v>
      </c>
      <c r="D553" s="9"/>
      <c r="E553" s="9"/>
      <c r="F553" s="35">
        <f>SUM(F552)</f>
        <v>0</v>
      </c>
      <c r="G553" s="35">
        <f t="shared" ref="G553:J553" si="143">SUM(G552)</f>
        <v>0</v>
      </c>
      <c r="H553" s="35">
        <f t="shared" si="143"/>
        <v>0</v>
      </c>
      <c r="I553" s="35">
        <f t="shared" si="143"/>
        <v>0</v>
      </c>
      <c r="J553" s="35">
        <f t="shared" si="143"/>
        <v>0</v>
      </c>
      <c r="K553" s="109"/>
    </row>
    <row r="554" spans="1:12" ht="15.75" thickTop="1">
      <c r="A554" s="19"/>
      <c r="B554" s="19"/>
      <c r="C554" s="19"/>
      <c r="D554" s="19"/>
      <c r="E554" s="19"/>
      <c r="F554" s="11"/>
      <c r="G554" s="11"/>
      <c r="H554" s="11"/>
      <c r="I554" s="11"/>
      <c r="J554" s="11"/>
      <c r="K554" s="114"/>
      <c r="L554"/>
    </row>
    <row r="555" spans="1:12" ht="15.75" thickBot="1">
      <c r="A555" s="19"/>
      <c r="B555" s="19"/>
      <c r="C555" s="9" t="s">
        <v>986</v>
      </c>
      <c r="D555" s="9"/>
      <c r="E555" s="9"/>
      <c r="F555" s="35">
        <f>F532+F537+F541+F545+F549+F553</f>
        <v>91034</v>
      </c>
      <c r="G555" s="35">
        <f t="shared" ref="G555:J555" si="144">G532+G537+G541+G545+G549+G553</f>
        <v>0</v>
      </c>
      <c r="H555" s="35">
        <f t="shared" si="144"/>
        <v>89652.62</v>
      </c>
      <c r="I555" s="35">
        <f t="shared" si="144"/>
        <v>87339.065199545454</v>
      </c>
      <c r="J555" s="35">
        <f t="shared" si="144"/>
        <v>59272</v>
      </c>
      <c r="K555" s="114"/>
      <c r="L555"/>
    </row>
    <row r="556" spans="1:12" ht="15.75" thickTop="1">
      <c r="A556" s="19"/>
      <c r="B556" s="19"/>
      <c r="C556" s="19"/>
      <c r="D556" s="19"/>
      <c r="E556" s="19"/>
      <c r="F556" s="11"/>
      <c r="G556" s="11"/>
      <c r="H556" s="11"/>
      <c r="I556" s="11"/>
      <c r="J556" s="11"/>
      <c r="K556" s="143"/>
    </row>
    <row r="557" spans="1:12">
      <c r="A557" s="19"/>
      <c r="B557" s="19"/>
      <c r="C557" s="19"/>
      <c r="D557" s="19"/>
      <c r="E557" s="19"/>
      <c r="F557" s="11"/>
      <c r="G557" s="11"/>
      <c r="H557" s="11"/>
      <c r="I557" s="11"/>
      <c r="J557" s="11"/>
      <c r="K557" s="143"/>
    </row>
    <row r="558" spans="1:12">
      <c r="A558" s="250" t="s">
        <v>806</v>
      </c>
      <c r="B558" s="250"/>
      <c r="C558" s="250"/>
      <c r="D558" s="250"/>
      <c r="E558" s="250"/>
      <c r="F558" s="250"/>
      <c r="G558" s="250"/>
      <c r="H558" s="250"/>
      <c r="I558" s="250"/>
      <c r="J558" s="250"/>
      <c r="K558" s="250"/>
      <c r="L558"/>
    </row>
    <row r="559" spans="1:12">
      <c r="A559" s="19" t="s">
        <v>6</v>
      </c>
      <c r="B559" s="19"/>
      <c r="C559" s="19" t="s">
        <v>196</v>
      </c>
      <c r="D559" s="19"/>
      <c r="E559" s="19"/>
      <c r="F559" s="11" t="s">
        <v>6</v>
      </c>
      <c r="G559" s="11" t="s">
        <v>6</v>
      </c>
      <c r="H559" s="11" t="s">
        <v>6</v>
      </c>
      <c r="I559" s="11" t="s">
        <v>6</v>
      </c>
      <c r="J559" s="11" t="s">
        <v>6</v>
      </c>
      <c r="K559" s="143"/>
    </row>
    <row r="560" spans="1:12" s="4" customFormat="1">
      <c r="A560" s="37" t="s">
        <v>424</v>
      </c>
      <c r="B560" s="37"/>
      <c r="C560" s="37" t="s">
        <v>1015</v>
      </c>
      <c r="D560" s="37"/>
      <c r="E560" s="37"/>
      <c r="F560" s="39">
        <v>31824</v>
      </c>
      <c r="G560" s="39">
        <v>0</v>
      </c>
      <c r="H560" s="39">
        <v>35868.230000000003</v>
      </c>
      <c r="I560" s="39">
        <v>35124.25</v>
      </c>
      <c r="J560" s="39">
        <v>38000</v>
      </c>
      <c r="K560" s="145" t="s">
        <v>6</v>
      </c>
    </row>
    <row r="561" spans="1:12" ht="15.75" thickBot="1">
      <c r="A561" s="28"/>
      <c r="B561" s="19"/>
      <c r="C561" s="19" t="s">
        <v>959</v>
      </c>
      <c r="D561" s="19"/>
      <c r="E561" s="19"/>
      <c r="F561" s="12">
        <f>SUM(F560)</f>
        <v>31824</v>
      </c>
      <c r="G561" s="12">
        <f t="shared" ref="G561:J561" si="145">SUM(G560)</f>
        <v>0</v>
      </c>
      <c r="H561" s="12">
        <f t="shared" si="145"/>
        <v>35868.230000000003</v>
      </c>
      <c r="I561" s="12">
        <f t="shared" si="145"/>
        <v>35124.25</v>
      </c>
      <c r="J561" s="12">
        <f t="shared" si="145"/>
        <v>38000</v>
      </c>
      <c r="K561" s="114"/>
      <c r="L561"/>
    </row>
    <row r="562" spans="1:12" ht="15.75" thickTop="1">
      <c r="A562" s="28"/>
      <c r="B562" s="19"/>
      <c r="C562" s="9"/>
      <c r="D562" s="19"/>
      <c r="E562" s="19"/>
      <c r="F562" s="20"/>
      <c r="G562" s="20"/>
      <c r="H562" s="20"/>
      <c r="I562" s="20"/>
      <c r="J562" s="23"/>
      <c r="K562" s="114"/>
      <c r="L562"/>
    </row>
    <row r="563" spans="1:12">
      <c r="A563" s="19"/>
      <c r="B563" s="19"/>
      <c r="C563" s="19" t="s">
        <v>197</v>
      </c>
      <c r="D563" s="19"/>
      <c r="E563" s="19"/>
      <c r="F563" s="20"/>
      <c r="G563" s="20"/>
      <c r="H563" s="20"/>
      <c r="I563" s="20"/>
      <c r="J563" s="20"/>
      <c r="K563" s="114"/>
      <c r="L563"/>
    </row>
    <row r="564" spans="1:12" s="4" customFormat="1">
      <c r="A564" s="37" t="s">
        <v>425</v>
      </c>
      <c r="B564" s="37"/>
      <c r="C564" s="37" t="s">
        <v>207</v>
      </c>
      <c r="D564" s="37"/>
      <c r="E564" s="37"/>
      <c r="F564" s="39">
        <v>2435</v>
      </c>
      <c r="G564" s="39">
        <v>0</v>
      </c>
      <c r="H564" s="39">
        <v>4066.66</v>
      </c>
      <c r="I564" s="39">
        <f t="shared" ref="I564" si="146">(H564/11)*12</f>
        <v>4436.3563636363633</v>
      </c>
      <c r="J564" s="39">
        <f>44960*0.0765</f>
        <v>3439.44</v>
      </c>
      <c r="K564" s="145"/>
    </row>
    <row r="565" spans="1:12" ht="15.75" thickBot="1">
      <c r="A565" s="19" t="s">
        <v>6</v>
      </c>
      <c r="B565" s="19"/>
      <c r="C565" s="19" t="s">
        <v>968</v>
      </c>
      <c r="D565" s="19"/>
      <c r="E565" s="19"/>
      <c r="F565" s="12">
        <f>SUM(F564)</f>
        <v>2435</v>
      </c>
      <c r="G565" s="12">
        <f t="shared" ref="G565:J565" si="147">SUM(G564)</f>
        <v>0</v>
      </c>
      <c r="H565" s="12">
        <f t="shared" si="147"/>
        <v>4066.66</v>
      </c>
      <c r="I565" s="12">
        <f t="shared" si="147"/>
        <v>4436.3563636363633</v>
      </c>
      <c r="J565" s="12">
        <f t="shared" si="147"/>
        <v>3439.44</v>
      </c>
      <c r="K565" s="114"/>
      <c r="L565"/>
    </row>
    <row r="566" spans="1:12" ht="15.75" thickTop="1">
      <c r="A566" s="19"/>
      <c r="B566" s="19"/>
      <c r="C566" s="19"/>
      <c r="D566" s="19"/>
      <c r="E566" s="19"/>
      <c r="F566" s="11"/>
      <c r="G566" s="11"/>
      <c r="H566" s="11"/>
      <c r="I566" s="11"/>
      <c r="J566" s="14"/>
      <c r="K566" s="114"/>
      <c r="L566"/>
    </row>
    <row r="567" spans="1:12" s="3" customFormat="1" ht="15.75" thickBot="1">
      <c r="A567" s="9" t="s">
        <v>6</v>
      </c>
      <c r="B567" s="9"/>
      <c r="C567" s="9" t="s">
        <v>953</v>
      </c>
      <c r="D567" s="9"/>
      <c r="E567" s="9"/>
      <c r="F567" s="35">
        <f>F561+F565</f>
        <v>34259</v>
      </c>
      <c r="G567" s="35">
        <f t="shared" ref="G567:J567" si="148">G561+G565</f>
        <v>0</v>
      </c>
      <c r="H567" s="35">
        <f t="shared" si="148"/>
        <v>39934.89</v>
      </c>
      <c r="I567" s="35">
        <f t="shared" si="148"/>
        <v>39560.606363636361</v>
      </c>
      <c r="J567" s="35">
        <f t="shared" si="148"/>
        <v>41439.440000000002</v>
      </c>
      <c r="K567" s="109"/>
    </row>
    <row r="568" spans="1:12" ht="15.75" thickTop="1">
      <c r="A568" s="19"/>
      <c r="B568" s="19"/>
      <c r="C568" s="19"/>
      <c r="D568" s="19"/>
      <c r="E568" s="19"/>
      <c r="F568" s="11"/>
      <c r="G568" s="11"/>
      <c r="H568" s="11"/>
      <c r="I568" s="11"/>
      <c r="J568" s="11"/>
      <c r="K568" s="114"/>
      <c r="L568"/>
    </row>
    <row r="569" spans="1:12">
      <c r="A569" s="19" t="s">
        <v>6</v>
      </c>
      <c r="B569" s="19"/>
      <c r="C569" s="19" t="s">
        <v>202</v>
      </c>
      <c r="D569" s="19"/>
      <c r="E569" s="19"/>
      <c r="F569" s="11" t="s">
        <v>6</v>
      </c>
      <c r="G569" s="11" t="s">
        <v>6</v>
      </c>
      <c r="H569" s="11" t="s">
        <v>6</v>
      </c>
      <c r="I569" s="11" t="s">
        <v>6</v>
      </c>
      <c r="J569" s="11" t="s">
        <v>6</v>
      </c>
      <c r="K569" s="143"/>
    </row>
    <row r="570" spans="1:12" s="4" customFormat="1">
      <c r="A570" s="37" t="s">
        <v>426</v>
      </c>
      <c r="B570" s="37"/>
      <c r="C570" s="37" t="s">
        <v>427</v>
      </c>
      <c r="D570" s="37"/>
      <c r="E570" s="37"/>
      <c r="F570" s="39">
        <v>5000</v>
      </c>
      <c r="G570" s="39">
        <v>0</v>
      </c>
      <c r="H570" s="39">
        <v>2231.7600000000002</v>
      </c>
      <c r="I570" s="39">
        <f t="shared" ref="I570" si="149">(H570/11)*12</f>
        <v>2434.647272727273</v>
      </c>
      <c r="J570" s="39">
        <v>5250</v>
      </c>
      <c r="K570" s="145"/>
    </row>
    <row r="571" spans="1:12" s="3" customFormat="1" ht="15.75" thickBot="1">
      <c r="A571" s="9" t="s">
        <v>6</v>
      </c>
      <c r="B571" s="9"/>
      <c r="C571" s="9" t="s">
        <v>955</v>
      </c>
      <c r="D571" s="9"/>
      <c r="E571" s="9"/>
      <c r="F571" s="35">
        <f>SUM(F570)</f>
        <v>5000</v>
      </c>
      <c r="G571" s="35">
        <f t="shared" ref="G571:J571" si="150">SUM(G570)</f>
        <v>0</v>
      </c>
      <c r="H571" s="35">
        <f t="shared" si="150"/>
        <v>2231.7600000000002</v>
      </c>
      <c r="I571" s="35">
        <f t="shared" si="150"/>
        <v>2434.647272727273</v>
      </c>
      <c r="J571" s="35">
        <f t="shared" si="150"/>
        <v>5250</v>
      </c>
      <c r="K571" s="109"/>
    </row>
    <row r="572" spans="1:12" ht="15.75" thickTop="1">
      <c r="A572" s="19" t="s">
        <v>6</v>
      </c>
      <c r="B572" s="19"/>
      <c r="C572" s="19" t="s">
        <v>6</v>
      </c>
      <c r="D572" s="19" t="s">
        <v>6</v>
      </c>
      <c r="E572" s="19" t="s">
        <v>6</v>
      </c>
      <c r="F572" s="11" t="s">
        <v>6</v>
      </c>
      <c r="G572" s="11" t="s">
        <v>6</v>
      </c>
      <c r="H572" s="11" t="s">
        <v>6</v>
      </c>
      <c r="I572" s="11" t="s">
        <v>6</v>
      </c>
      <c r="J572" s="11" t="s">
        <v>6</v>
      </c>
      <c r="K572" s="114"/>
      <c r="L572"/>
    </row>
    <row r="573" spans="1:12">
      <c r="A573" s="19" t="s">
        <v>6</v>
      </c>
      <c r="B573" s="19"/>
      <c r="C573" s="19" t="s">
        <v>204</v>
      </c>
      <c r="D573" s="19"/>
      <c r="E573" s="19"/>
      <c r="F573" s="11" t="s">
        <v>6</v>
      </c>
      <c r="G573" s="11" t="s">
        <v>6</v>
      </c>
      <c r="H573" s="11" t="s">
        <v>6</v>
      </c>
      <c r="I573" s="11" t="s">
        <v>6</v>
      </c>
      <c r="J573" s="14" t="s">
        <v>6</v>
      </c>
      <c r="K573" s="114"/>
      <c r="L573"/>
    </row>
    <row r="574" spans="1:12">
      <c r="A574" s="19" t="s">
        <v>428</v>
      </c>
      <c r="B574" s="19"/>
      <c r="C574" s="19" t="s">
        <v>429</v>
      </c>
      <c r="D574" s="19"/>
      <c r="E574" s="19"/>
      <c r="F574" s="11">
        <v>500</v>
      </c>
      <c r="G574" s="11">
        <v>0</v>
      </c>
      <c r="H574" s="11">
        <v>150</v>
      </c>
      <c r="I574" s="39">
        <f t="shared" ref="I574:I577" si="151">(H574/11)*12</f>
        <v>163.63636363636363</v>
      </c>
      <c r="J574" s="11">
        <v>200</v>
      </c>
      <c r="K574" s="114"/>
      <c r="L574"/>
    </row>
    <row r="575" spans="1:12">
      <c r="A575" s="19" t="s">
        <v>430</v>
      </c>
      <c r="B575" s="19"/>
      <c r="C575" s="19" t="s">
        <v>373</v>
      </c>
      <c r="D575" s="19"/>
      <c r="E575" s="19"/>
      <c r="F575" s="11">
        <v>3500</v>
      </c>
      <c r="G575" s="11">
        <v>0</v>
      </c>
      <c r="H575" s="11">
        <v>3718</v>
      </c>
      <c r="I575" s="39">
        <f t="shared" si="151"/>
        <v>4056</v>
      </c>
      <c r="J575" s="11">
        <v>4000</v>
      </c>
      <c r="K575" s="114" t="s">
        <v>6</v>
      </c>
      <c r="L575"/>
    </row>
    <row r="576" spans="1:12">
      <c r="A576" s="19" t="s">
        <v>431</v>
      </c>
      <c r="B576" s="19"/>
      <c r="C576" s="19" t="s">
        <v>432</v>
      </c>
      <c r="D576" s="19"/>
      <c r="E576" s="19"/>
      <c r="F576" s="11">
        <v>2000</v>
      </c>
      <c r="G576" s="11">
        <v>0</v>
      </c>
      <c r="H576" s="11">
        <v>2664.19</v>
      </c>
      <c r="I576" s="39">
        <f t="shared" si="151"/>
        <v>2906.389090909091</v>
      </c>
      <c r="J576" s="11">
        <v>2000</v>
      </c>
      <c r="K576" s="114"/>
      <c r="L576"/>
    </row>
    <row r="577" spans="1:12" s="4" customFormat="1">
      <c r="A577" s="37" t="s">
        <v>924</v>
      </c>
      <c r="B577" s="37"/>
      <c r="C577" s="37" t="s">
        <v>408</v>
      </c>
      <c r="D577" s="37"/>
      <c r="E577" s="37"/>
      <c r="F577" s="39">
        <v>2500</v>
      </c>
      <c r="G577" s="39">
        <v>0</v>
      </c>
      <c r="H577" s="39">
        <v>2055.16</v>
      </c>
      <c r="I577" s="39">
        <f t="shared" si="151"/>
        <v>2241.9927272727273</v>
      </c>
      <c r="J577" s="47">
        <v>2500</v>
      </c>
      <c r="K577" s="145"/>
    </row>
    <row r="578" spans="1:12" s="3" customFormat="1" ht="15.75" thickBot="1">
      <c r="A578" s="9" t="s">
        <v>6</v>
      </c>
      <c r="B578" s="9"/>
      <c r="C578" s="9" t="s">
        <v>972</v>
      </c>
      <c r="D578" s="9"/>
      <c r="E578" s="9"/>
      <c r="F578" s="35">
        <f>SUM(F574:F577)</f>
        <v>8500</v>
      </c>
      <c r="G578" s="35">
        <f t="shared" ref="G578:J578" si="152">SUM(G574:G577)</f>
        <v>0</v>
      </c>
      <c r="H578" s="35">
        <f t="shared" si="152"/>
        <v>8587.35</v>
      </c>
      <c r="I578" s="35">
        <f t="shared" si="152"/>
        <v>9368.0181818181827</v>
      </c>
      <c r="J578" s="35">
        <f t="shared" si="152"/>
        <v>8700</v>
      </c>
      <c r="K578" s="109"/>
    </row>
    <row r="579" spans="1:12" ht="15.75" thickTop="1">
      <c r="A579" s="19"/>
      <c r="B579" s="19"/>
      <c r="C579" s="19"/>
      <c r="D579" s="19"/>
      <c r="E579" s="19"/>
      <c r="F579" s="11"/>
      <c r="G579" s="11"/>
      <c r="H579" s="11"/>
      <c r="I579" s="11"/>
      <c r="J579" s="14"/>
      <c r="K579" s="148"/>
    </row>
    <row r="580" spans="1:12">
      <c r="A580" s="19" t="s">
        <v>6</v>
      </c>
      <c r="B580" s="19"/>
      <c r="C580" s="19" t="s">
        <v>356</v>
      </c>
      <c r="D580" s="19"/>
      <c r="E580" s="19"/>
      <c r="F580" s="11" t="s">
        <v>6</v>
      </c>
      <c r="G580" s="11" t="s">
        <v>6</v>
      </c>
      <c r="H580" s="11" t="s">
        <v>6</v>
      </c>
      <c r="I580" s="11" t="s">
        <v>6</v>
      </c>
      <c r="J580" s="14"/>
      <c r="K580" s="148"/>
    </row>
    <row r="581" spans="1:12">
      <c r="A581" s="19" t="s">
        <v>433</v>
      </c>
      <c r="B581" s="19"/>
      <c r="C581" s="19" t="s">
        <v>434</v>
      </c>
      <c r="D581" s="19"/>
      <c r="E581" s="19"/>
      <c r="F581" s="11">
        <v>3500</v>
      </c>
      <c r="G581" s="11">
        <v>0</v>
      </c>
      <c r="H581" s="11">
        <v>2175.31</v>
      </c>
      <c r="I581" s="39">
        <f t="shared" ref="I581" si="153">(H581/11)*12</f>
        <v>2373.0654545454545</v>
      </c>
      <c r="J581" s="11">
        <v>3000</v>
      </c>
      <c r="K581" s="114"/>
      <c r="L581"/>
    </row>
    <row r="582" spans="1:12" s="3" customFormat="1" ht="15.75" thickBot="1">
      <c r="A582" s="9" t="s">
        <v>6</v>
      </c>
      <c r="B582" s="9"/>
      <c r="C582" s="9" t="s">
        <v>979</v>
      </c>
      <c r="D582" s="9"/>
      <c r="E582" s="9"/>
      <c r="F582" s="35">
        <f>SUM(F581)</f>
        <v>3500</v>
      </c>
      <c r="G582" s="35">
        <f t="shared" ref="G582:J582" si="154">SUM(G581)</f>
        <v>0</v>
      </c>
      <c r="H582" s="35">
        <f t="shared" si="154"/>
        <v>2175.31</v>
      </c>
      <c r="I582" s="35">
        <f t="shared" si="154"/>
        <v>2373.0654545454545</v>
      </c>
      <c r="J582" s="35">
        <f t="shared" si="154"/>
        <v>3000</v>
      </c>
      <c r="K582" s="109"/>
    </row>
    <row r="583" spans="1:12" ht="15.75" thickTop="1">
      <c r="A583" s="19"/>
      <c r="B583" s="19"/>
      <c r="C583" s="19"/>
      <c r="D583" s="19"/>
      <c r="E583" s="19"/>
      <c r="F583" s="11"/>
      <c r="G583" s="11"/>
      <c r="H583" s="11"/>
      <c r="I583" s="11"/>
      <c r="J583" s="11"/>
      <c r="K583" s="114"/>
      <c r="L583"/>
    </row>
    <row r="584" spans="1:12">
      <c r="A584" s="19" t="s">
        <v>6</v>
      </c>
      <c r="B584" s="19"/>
      <c r="C584" s="19" t="s">
        <v>423</v>
      </c>
      <c r="D584" s="19"/>
      <c r="E584" s="19"/>
      <c r="F584" s="11" t="s">
        <v>6</v>
      </c>
      <c r="G584" s="11" t="s">
        <v>6</v>
      </c>
      <c r="H584" s="11" t="s">
        <v>6</v>
      </c>
      <c r="I584" s="11" t="s">
        <v>6</v>
      </c>
      <c r="J584" s="11" t="s">
        <v>6</v>
      </c>
      <c r="K584" s="114"/>
      <c r="L584"/>
    </row>
    <row r="585" spans="1:12">
      <c r="A585" s="19" t="s">
        <v>435</v>
      </c>
      <c r="B585" s="19"/>
      <c r="C585" s="19" t="s">
        <v>436</v>
      </c>
      <c r="D585" s="19"/>
      <c r="E585" s="19"/>
      <c r="F585" s="11">
        <v>1300</v>
      </c>
      <c r="G585" s="11">
        <v>0</v>
      </c>
      <c r="H585" s="11">
        <v>1279</v>
      </c>
      <c r="I585" s="11">
        <v>1279</v>
      </c>
      <c r="J585" s="11">
        <v>1300</v>
      </c>
      <c r="K585" s="114"/>
      <c r="L585"/>
    </row>
    <row r="586" spans="1:12">
      <c r="A586" s="19" t="s">
        <v>437</v>
      </c>
      <c r="B586" s="19"/>
      <c r="C586" s="19" t="s">
        <v>438</v>
      </c>
      <c r="D586" s="19"/>
      <c r="E586" s="19"/>
      <c r="F586" s="11">
        <v>4500</v>
      </c>
      <c r="G586" s="11">
        <v>0</v>
      </c>
      <c r="H586" s="11">
        <v>5162</v>
      </c>
      <c r="I586" s="11">
        <v>5162</v>
      </c>
      <c r="J586" s="14">
        <v>7000</v>
      </c>
      <c r="K586" s="114" t="s">
        <v>6</v>
      </c>
      <c r="L586"/>
    </row>
    <row r="587" spans="1:12">
      <c r="A587" s="37" t="s">
        <v>439</v>
      </c>
      <c r="B587" s="37"/>
      <c r="C587" s="37" t="s">
        <v>440</v>
      </c>
      <c r="D587" s="37"/>
      <c r="E587" s="37"/>
      <c r="F587" s="39">
        <v>1500</v>
      </c>
      <c r="G587" s="39">
        <v>0</v>
      </c>
      <c r="H587" s="39">
        <v>1493.54</v>
      </c>
      <c r="I587" s="39">
        <v>1493.54</v>
      </c>
      <c r="J587" s="39">
        <v>1500</v>
      </c>
      <c r="K587" s="145" t="s">
        <v>6</v>
      </c>
      <c r="L587"/>
    </row>
    <row r="588" spans="1:12" s="4" customFormat="1">
      <c r="A588" s="37" t="s">
        <v>442</v>
      </c>
      <c r="B588" s="37"/>
      <c r="C588" s="37" t="s">
        <v>441</v>
      </c>
      <c r="D588" s="37"/>
      <c r="E588" s="37"/>
      <c r="F588" s="39">
        <v>2000</v>
      </c>
      <c r="G588" s="39">
        <v>0</v>
      </c>
      <c r="H588" s="39">
        <v>1993.85</v>
      </c>
      <c r="I588" s="39">
        <v>1994</v>
      </c>
      <c r="J588" s="39">
        <v>2000</v>
      </c>
      <c r="K588" s="145"/>
    </row>
    <row r="589" spans="1:12" s="4" customFormat="1">
      <c r="A589" s="37" t="s">
        <v>443</v>
      </c>
      <c r="B589" s="37"/>
      <c r="C589" s="37" t="s">
        <v>444</v>
      </c>
      <c r="D589" s="37"/>
      <c r="E589" s="37"/>
      <c r="F589" s="39">
        <v>1000</v>
      </c>
      <c r="G589" s="39">
        <v>0</v>
      </c>
      <c r="H589" s="39">
        <v>1081.46</v>
      </c>
      <c r="I589" s="39">
        <v>1081</v>
      </c>
      <c r="J589" s="39">
        <v>1000</v>
      </c>
      <c r="K589" s="145"/>
    </row>
    <row r="590" spans="1:12">
      <c r="A590" s="19" t="s">
        <v>445</v>
      </c>
      <c r="B590" s="19"/>
      <c r="C590" s="19" t="s">
        <v>446</v>
      </c>
      <c r="D590" s="19"/>
      <c r="E590" s="19"/>
      <c r="F590" s="11">
        <v>500</v>
      </c>
      <c r="G590" s="11">
        <v>0</v>
      </c>
      <c r="H590" s="11">
        <v>91.5</v>
      </c>
      <c r="I590" s="11">
        <v>92</v>
      </c>
      <c r="J590" s="11">
        <v>500</v>
      </c>
      <c r="K590" s="114"/>
      <c r="L590"/>
    </row>
    <row r="591" spans="1:12">
      <c r="A591" s="19" t="s">
        <v>447</v>
      </c>
      <c r="B591" s="19"/>
      <c r="C591" s="19" t="s">
        <v>835</v>
      </c>
      <c r="D591" s="19"/>
      <c r="E591" s="19"/>
      <c r="F591" s="11">
        <v>500</v>
      </c>
      <c r="G591" s="11">
        <v>0</v>
      </c>
      <c r="H591" s="11">
        <v>326</v>
      </c>
      <c r="I591" s="11">
        <v>326</v>
      </c>
      <c r="J591" s="14">
        <v>500</v>
      </c>
      <c r="K591" s="114"/>
      <c r="L591"/>
    </row>
    <row r="592" spans="1:12" s="3" customFormat="1" ht="15.75" thickBot="1">
      <c r="A592" s="9" t="s">
        <v>6</v>
      </c>
      <c r="B592" s="9"/>
      <c r="C592" s="9" t="s">
        <v>987</v>
      </c>
      <c r="D592" s="9"/>
      <c r="E592" s="9"/>
      <c r="F592" s="35">
        <f>SUM(F585:F591)</f>
        <v>11300</v>
      </c>
      <c r="G592" s="35">
        <f t="shared" ref="G592:J592" si="155">SUM(G585:G591)</f>
        <v>0</v>
      </c>
      <c r="H592" s="35">
        <f t="shared" si="155"/>
        <v>11427.349999999999</v>
      </c>
      <c r="I592" s="35">
        <f t="shared" si="155"/>
        <v>11427.54</v>
      </c>
      <c r="J592" s="35">
        <f t="shared" si="155"/>
        <v>13800</v>
      </c>
      <c r="K592" s="109"/>
    </row>
    <row r="593" spans="1:12" ht="15.75" thickTop="1">
      <c r="A593" s="19"/>
      <c r="B593" s="19"/>
      <c r="C593" s="19"/>
      <c r="D593" s="19"/>
      <c r="E593" s="19"/>
      <c r="F593" s="11"/>
      <c r="G593" s="11"/>
      <c r="H593" s="11"/>
      <c r="I593" s="11"/>
      <c r="J593" s="11"/>
      <c r="K593" s="114"/>
      <c r="L593"/>
    </row>
    <row r="594" spans="1:12">
      <c r="A594" s="19" t="s">
        <v>6</v>
      </c>
      <c r="B594" s="19"/>
      <c r="C594" s="19" t="s">
        <v>24</v>
      </c>
      <c r="D594" s="19"/>
      <c r="E594" s="19"/>
      <c r="F594" s="11" t="s">
        <v>6</v>
      </c>
      <c r="G594" s="11" t="s">
        <v>6</v>
      </c>
      <c r="H594" s="11" t="s">
        <v>6</v>
      </c>
      <c r="I594" s="11" t="s">
        <v>6</v>
      </c>
      <c r="J594" s="11" t="s">
        <v>6</v>
      </c>
      <c r="K594" s="114"/>
      <c r="L594"/>
    </row>
    <row r="595" spans="1:12">
      <c r="A595" s="19" t="s">
        <v>522</v>
      </c>
      <c r="B595" s="19"/>
      <c r="C595" s="19" t="s">
        <v>448</v>
      </c>
      <c r="D595" s="19"/>
      <c r="E595" s="19"/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4"/>
      <c r="L595"/>
    </row>
    <row r="596" spans="1:12">
      <c r="A596" s="19" t="s">
        <v>521</v>
      </c>
      <c r="B596" s="19"/>
      <c r="C596" s="19" t="s">
        <v>449</v>
      </c>
      <c r="D596" s="19"/>
      <c r="E596" s="19"/>
      <c r="F596" s="11">
        <v>0</v>
      </c>
      <c r="G596" s="11">
        <v>0</v>
      </c>
      <c r="H596" s="11">
        <v>0</v>
      </c>
      <c r="I596" s="11">
        <v>0</v>
      </c>
      <c r="J596" s="11">
        <v>0</v>
      </c>
      <c r="K596" s="114"/>
      <c r="L596"/>
    </row>
    <row r="597" spans="1:12" s="3" customFormat="1" ht="15.75" thickBot="1">
      <c r="A597" s="9" t="s">
        <v>6</v>
      </c>
      <c r="B597" s="9"/>
      <c r="C597" s="9" t="s">
        <v>988</v>
      </c>
      <c r="D597" s="9"/>
      <c r="E597" s="9"/>
      <c r="F597" s="35">
        <f>SUM(F595:F596)</f>
        <v>0</v>
      </c>
      <c r="G597" s="35">
        <f t="shared" ref="G597:J597" si="156">SUM(G595:G596)</f>
        <v>0</v>
      </c>
      <c r="H597" s="35">
        <f t="shared" si="156"/>
        <v>0</v>
      </c>
      <c r="I597" s="35">
        <f t="shared" si="156"/>
        <v>0</v>
      </c>
      <c r="J597" s="35">
        <f t="shared" si="156"/>
        <v>0</v>
      </c>
      <c r="K597" s="109"/>
    </row>
    <row r="598" spans="1:12" ht="15.75" thickTop="1">
      <c r="A598" s="19"/>
      <c r="B598" s="19"/>
      <c r="C598" s="19"/>
      <c r="D598" s="19"/>
      <c r="E598" s="19"/>
      <c r="F598" s="13"/>
      <c r="G598" s="13"/>
      <c r="H598" s="13"/>
      <c r="I598" s="13"/>
      <c r="J598" s="13"/>
      <c r="K598" s="114"/>
      <c r="L598"/>
    </row>
    <row r="599" spans="1:12">
      <c r="A599" s="19"/>
      <c r="B599" s="19"/>
      <c r="C599" s="19" t="s">
        <v>30</v>
      </c>
      <c r="D599" s="19"/>
      <c r="E599" s="19"/>
      <c r="F599" s="13"/>
      <c r="G599" s="13"/>
      <c r="H599" s="13"/>
      <c r="I599" s="13"/>
      <c r="J599" s="13"/>
      <c r="K599" s="114"/>
      <c r="L599"/>
    </row>
    <row r="600" spans="1:12">
      <c r="A600" s="19" t="s">
        <v>846</v>
      </c>
      <c r="B600" s="19"/>
      <c r="C600" s="19" t="s">
        <v>848</v>
      </c>
      <c r="D600" s="19"/>
      <c r="E600" s="19"/>
      <c r="F600" s="11">
        <v>0</v>
      </c>
      <c r="G600" s="11">
        <v>0</v>
      </c>
      <c r="H600" s="11">
        <v>0</v>
      </c>
      <c r="I600" s="11">
        <v>0</v>
      </c>
      <c r="J600" s="11">
        <v>0</v>
      </c>
      <c r="K600" s="114"/>
      <c r="L600"/>
    </row>
    <row r="601" spans="1:12" s="3" customFormat="1" ht="15.75" thickBot="1">
      <c r="A601" s="121"/>
      <c r="B601" s="9"/>
      <c r="C601" s="9" t="s">
        <v>974</v>
      </c>
      <c r="D601" s="9"/>
      <c r="E601" s="9"/>
      <c r="F601" s="35">
        <f>SUM(F600)</f>
        <v>0</v>
      </c>
      <c r="G601" s="35">
        <f t="shared" ref="G601:J601" si="157">SUM(G600)</f>
        <v>0</v>
      </c>
      <c r="H601" s="35">
        <f t="shared" si="157"/>
        <v>0</v>
      </c>
      <c r="I601" s="35">
        <f t="shared" si="157"/>
        <v>0</v>
      </c>
      <c r="J601" s="35">
        <f t="shared" si="157"/>
        <v>0</v>
      </c>
      <c r="K601" s="109"/>
    </row>
    <row r="602" spans="1:12" ht="15.75" thickTop="1">
      <c r="K602" s="114"/>
      <c r="L602"/>
    </row>
    <row r="603" spans="1:12" ht="15.75" thickBot="1">
      <c r="C603" s="18" t="s">
        <v>989</v>
      </c>
      <c r="F603" s="36">
        <f>F567+F571+F578+F582+F592+F597+F601</f>
        <v>62559</v>
      </c>
      <c r="G603" s="36">
        <f t="shared" ref="G603:J603" si="158">G567+G571+G578+G582+G592+G597+G601</f>
        <v>0</v>
      </c>
      <c r="H603" s="36">
        <f t="shared" si="158"/>
        <v>64356.659999999996</v>
      </c>
      <c r="I603" s="36">
        <f t="shared" si="158"/>
        <v>65163.877272727266</v>
      </c>
      <c r="J603" s="36">
        <f t="shared" si="158"/>
        <v>72189.440000000002</v>
      </c>
      <c r="K603" s="114"/>
      <c r="L603"/>
    </row>
    <row r="604" spans="1:12" ht="15.75" thickTop="1"/>
    <row r="605" spans="1:12">
      <c r="A605" s="19"/>
      <c r="B605" s="19"/>
      <c r="C605" s="19"/>
      <c r="D605" s="19"/>
      <c r="E605" s="19"/>
      <c r="F605" s="20"/>
      <c r="G605" s="20"/>
      <c r="H605" s="20"/>
      <c r="I605" s="20"/>
      <c r="J605" s="20"/>
      <c r="K605" s="143"/>
    </row>
    <row r="606" spans="1:12">
      <c r="A606" s="250" t="s">
        <v>807</v>
      </c>
      <c r="B606" s="250"/>
      <c r="C606" s="250"/>
      <c r="D606" s="250"/>
      <c r="E606" s="250"/>
      <c r="F606" s="250"/>
      <c r="G606" s="250"/>
      <c r="H606" s="250"/>
      <c r="I606" s="250"/>
      <c r="J606" s="250"/>
      <c r="K606" s="250"/>
      <c r="L606"/>
    </row>
    <row r="607" spans="1:12">
      <c r="A607" s="19" t="s">
        <v>6</v>
      </c>
      <c r="B607" s="19"/>
      <c r="C607" s="19" t="s">
        <v>196</v>
      </c>
      <c r="D607" s="19"/>
      <c r="E607" s="19"/>
      <c r="F607" s="11" t="s">
        <v>6</v>
      </c>
      <c r="G607" s="11" t="s">
        <v>6</v>
      </c>
      <c r="H607" s="11" t="s">
        <v>6</v>
      </c>
      <c r="I607" s="11" t="s">
        <v>6</v>
      </c>
      <c r="J607" s="11" t="s">
        <v>6</v>
      </c>
      <c r="K607" s="143"/>
    </row>
    <row r="608" spans="1:12">
      <c r="A608" s="19" t="s">
        <v>451</v>
      </c>
      <c r="B608" s="19"/>
      <c r="C608" s="19" t="s">
        <v>1016</v>
      </c>
      <c r="D608" s="19"/>
      <c r="E608" s="19"/>
      <c r="F608" s="11">
        <v>24000</v>
      </c>
      <c r="G608" s="11">
        <v>0</v>
      </c>
      <c r="H608" s="11">
        <v>22186.33</v>
      </c>
      <c r="I608" s="11">
        <v>22186.33</v>
      </c>
      <c r="J608" s="11">
        <v>24000</v>
      </c>
      <c r="K608" s="114"/>
      <c r="L608"/>
    </row>
    <row r="609" spans="1:12" ht="15.75" thickBot="1">
      <c r="A609" s="19" t="s">
        <v>6</v>
      </c>
      <c r="B609" s="19"/>
      <c r="C609" s="19" t="s">
        <v>959</v>
      </c>
      <c r="D609" s="19"/>
      <c r="E609" s="19"/>
      <c r="F609" s="12">
        <f>SUM(F608)</f>
        <v>24000</v>
      </c>
      <c r="G609" s="12">
        <f t="shared" ref="G609:J609" si="159">SUM(G608)</f>
        <v>0</v>
      </c>
      <c r="H609" s="12">
        <f t="shared" si="159"/>
        <v>22186.33</v>
      </c>
      <c r="I609" s="12">
        <f t="shared" si="159"/>
        <v>22186.33</v>
      </c>
      <c r="J609" s="12">
        <f t="shared" si="159"/>
        <v>24000</v>
      </c>
      <c r="K609" s="114"/>
      <c r="L609"/>
    </row>
    <row r="610" spans="1:12" ht="15.75" thickTop="1">
      <c r="A610" s="19"/>
      <c r="B610" s="19"/>
      <c r="C610" s="19"/>
      <c r="D610" s="19"/>
      <c r="E610" s="19"/>
      <c r="F610" s="11"/>
      <c r="G610" s="11"/>
      <c r="H610" s="11"/>
      <c r="I610" s="11"/>
      <c r="J610" s="11"/>
      <c r="K610" s="114"/>
      <c r="L610"/>
    </row>
    <row r="611" spans="1:12">
      <c r="A611" s="19" t="s">
        <v>6</v>
      </c>
      <c r="B611" s="19"/>
      <c r="C611" s="19" t="s">
        <v>197</v>
      </c>
      <c r="D611" s="19"/>
      <c r="E611" s="19"/>
      <c r="F611" s="11" t="s">
        <v>6</v>
      </c>
      <c r="G611" s="11" t="s">
        <v>6</v>
      </c>
      <c r="H611" s="11" t="s">
        <v>6</v>
      </c>
      <c r="I611" s="11" t="s">
        <v>6</v>
      </c>
      <c r="J611" s="11" t="s">
        <v>6</v>
      </c>
      <c r="K611" s="114"/>
      <c r="L611"/>
    </row>
    <row r="612" spans="1:12">
      <c r="A612" s="19" t="s">
        <v>452</v>
      </c>
      <c r="B612" s="19"/>
      <c r="C612" s="19" t="s">
        <v>207</v>
      </c>
      <c r="D612" s="19"/>
      <c r="E612" s="19"/>
      <c r="F612" s="11">
        <v>1836</v>
      </c>
      <c r="G612" s="11">
        <v>0</v>
      </c>
      <c r="H612" s="11">
        <v>1447.02</v>
      </c>
      <c r="I612" s="11">
        <v>1447.02</v>
      </c>
      <c r="J612" s="11">
        <v>1836</v>
      </c>
      <c r="K612" s="114"/>
      <c r="L612"/>
    </row>
    <row r="613" spans="1:12" ht="15.75" thickBot="1">
      <c r="A613" s="19" t="s">
        <v>6</v>
      </c>
      <c r="B613" s="19"/>
      <c r="C613" s="19" t="s">
        <v>960</v>
      </c>
      <c r="D613" s="19"/>
      <c r="E613" s="19"/>
      <c r="F613" s="12">
        <f>SUM(F612)</f>
        <v>1836</v>
      </c>
      <c r="G613" s="12">
        <f t="shared" ref="G613:J613" si="160">SUM(G612)</f>
        <v>0</v>
      </c>
      <c r="H613" s="12">
        <f t="shared" si="160"/>
        <v>1447.02</v>
      </c>
      <c r="I613" s="12">
        <f t="shared" si="160"/>
        <v>1447.02</v>
      </c>
      <c r="J613" s="12">
        <f t="shared" si="160"/>
        <v>1836</v>
      </c>
      <c r="K613" s="114"/>
      <c r="L613"/>
    </row>
    <row r="614" spans="1:12" ht="15.75" thickTop="1">
      <c r="A614" s="19"/>
      <c r="B614" s="19"/>
      <c r="C614" s="19"/>
      <c r="D614" s="19"/>
      <c r="E614" s="19"/>
      <c r="F614" s="11"/>
      <c r="G614" s="11"/>
      <c r="H614" s="11"/>
      <c r="I614" s="11"/>
      <c r="J614" s="11"/>
      <c r="K614" s="114"/>
      <c r="L614"/>
    </row>
    <row r="615" spans="1:12" s="3" customFormat="1" ht="15.75" thickBot="1">
      <c r="A615" s="9" t="s">
        <v>6</v>
      </c>
      <c r="B615" s="9"/>
      <c r="C615" s="9" t="s">
        <v>953</v>
      </c>
      <c r="D615" s="9"/>
      <c r="E615" s="9"/>
      <c r="F615" s="35">
        <f>F609+F613</f>
        <v>25836</v>
      </c>
      <c r="G615" s="35">
        <f t="shared" ref="G615:J615" si="161">G609+G613</f>
        <v>0</v>
      </c>
      <c r="H615" s="35">
        <f t="shared" si="161"/>
        <v>23633.350000000002</v>
      </c>
      <c r="I615" s="35">
        <f t="shared" si="161"/>
        <v>23633.350000000002</v>
      </c>
      <c r="J615" s="35">
        <f t="shared" si="161"/>
        <v>25836</v>
      </c>
      <c r="K615" s="109"/>
    </row>
    <row r="616" spans="1:12" ht="15.75" thickTop="1">
      <c r="A616" s="19"/>
      <c r="B616" s="19"/>
      <c r="C616" s="19"/>
      <c r="D616" s="19"/>
      <c r="E616" s="19"/>
      <c r="F616" s="11"/>
      <c r="G616" s="11"/>
      <c r="H616" s="11"/>
      <c r="I616" s="11"/>
      <c r="J616" s="11"/>
      <c r="K616" s="114"/>
      <c r="L616"/>
    </row>
    <row r="617" spans="1:12">
      <c r="A617" s="19" t="s">
        <v>6</v>
      </c>
      <c r="B617" s="19"/>
      <c r="C617" s="19" t="s">
        <v>202</v>
      </c>
      <c r="D617" s="19"/>
      <c r="E617" s="19"/>
      <c r="F617" s="11" t="s">
        <v>6</v>
      </c>
      <c r="G617" s="11" t="s">
        <v>6</v>
      </c>
      <c r="H617" s="11" t="s">
        <v>6</v>
      </c>
      <c r="I617" s="11" t="s">
        <v>6</v>
      </c>
      <c r="J617" s="11" t="s">
        <v>6</v>
      </c>
      <c r="K617" s="114"/>
      <c r="L617"/>
    </row>
    <row r="618" spans="1:12" s="4" customFormat="1">
      <c r="A618" s="37" t="s">
        <v>453</v>
      </c>
      <c r="B618" s="37"/>
      <c r="C618" s="37" t="s">
        <v>19</v>
      </c>
      <c r="D618" s="37"/>
      <c r="E618" s="37"/>
      <c r="F618" s="39">
        <v>6000</v>
      </c>
      <c r="G618" s="39">
        <v>0</v>
      </c>
      <c r="H618" s="39">
        <v>6360.93</v>
      </c>
      <c r="I618" s="39">
        <f t="shared" ref="I618:I619" si="162">(H618/11)*12</f>
        <v>6939.1963636363635</v>
      </c>
      <c r="J618" s="39">
        <v>5000</v>
      </c>
      <c r="K618" s="145"/>
    </row>
    <row r="619" spans="1:12" s="4" customFormat="1">
      <c r="A619" s="37" t="s">
        <v>454</v>
      </c>
      <c r="B619" s="37"/>
      <c r="C619" s="37" t="s">
        <v>18</v>
      </c>
      <c r="D619" s="37"/>
      <c r="E619" s="37"/>
      <c r="F619" s="39">
        <v>5400</v>
      </c>
      <c r="G619" s="39">
        <v>0</v>
      </c>
      <c r="H619" s="39">
        <v>6902.35</v>
      </c>
      <c r="I619" s="39">
        <f t="shared" si="162"/>
        <v>7529.8363636363638</v>
      </c>
      <c r="J619" s="39">
        <v>6000</v>
      </c>
      <c r="K619" s="145"/>
    </row>
    <row r="620" spans="1:12">
      <c r="A620" s="19" t="s">
        <v>455</v>
      </c>
      <c r="B620" s="19"/>
      <c r="C620" s="19" t="s">
        <v>21</v>
      </c>
      <c r="D620" s="19"/>
      <c r="E620" s="19"/>
      <c r="F620" s="11">
        <v>450</v>
      </c>
      <c r="G620" s="11">
        <v>0</v>
      </c>
      <c r="H620" s="11">
        <v>876.9</v>
      </c>
      <c r="I620" s="39">
        <v>877</v>
      </c>
      <c r="J620" s="11">
        <v>450</v>
      </c>
      <c r="K620" s="114"/>
      <c r="L620"/>
    </row>
    <row r="621" spans="1:12" s="3" customFormat="1" ht="15.75" thickBot="1">
      <c r="A621" s="9"/>
      <c r="B621" s="9"/>
      <c r="C621" s="9" t="s">
        <v>955</v>
      </c>
      <c r="D621" s="9"/>
      <c r="E621" s="9"/>
      <c r="F621" s="35">
        <f>SUM(F618:F620)</f>
        <v>11850</v>
      </c>
      <c r="G621" s="35">
        <f t="shared" ref="G621:J621" si="163">SUM(G618:G620)</f>
        <v>0</v>
      </c>
      <c r="H621" s="35">
        <f t="shared" si="163"/>
        <v>14140.18</v>
      </c>
      <c r="I621" s="35">
        <f t="shared" si="163"/>
        <v>15346.032727272726</v>
      </c>
      <c r="J621" s="35">
        <f t="shared" si="163"/>
        <v>11450</v>
      </c>
      <c r="K621" s="109"/>
    </row>
    <row r="622" spans="1:12" ht="15.75" thickTop="1">
      <c r="A622" s="19"/>
      <c r="B622" s="19"/>
      <c r="C622" s="19"/>
      <c r="D622" s="19"/>
      <c r="E622" s="19"/>
      <c r="F622" s="13"/>
      <c r="G622" s="13"/>
      <c r="H622" s="13"/>
      <c r="I622" s="13"/>
      <c r="J622" s="13"/>
      <c r="K622" s="146"/>
    </row>
    <row r="623" spans="1:12">
      <c r="A623" s="19"/>
      <c r="B623" s="19"/>
      <c r="C623" s="19" t="s">
        <v>204</v>
      </c>
      <c r="D623" s="19"/>
      <c r="E623" s="19"/>
      <c r="F623" s="20"/>
      <c r="G623" s="20"/>
      <c r="H623" s="20"/>
      <c r="I623" s="20"/>
      <c r="J623" s="20"/>
      <c r="K623" s="143"/>
    </row>
    <row r="624" spans="1:12">
      <c r="A624" s="19" t="s">
        <v>456</v>
      </c>
      <c r="B624" s="19"/>
      <c r="C624" s="19" t="s">
        <v>457</v>
      </c>
      <c r="D624" s="19"/>
      <c r="E624" s="19"/>
      <c r="F624" s="11">
        <v>5000</v>
      </c>
      <c r="G624" s="11">
        <v>0</v>
      </c>
      <c r="H624" s="11">
        <v>4503.88</v>
      </c>
      <c r="I624" s="11">
        <v>4503.88</v>
      </c>
      <c r="J624" s="11">
        <v>5000</v>
      </c>
      <c r="K624" s="114"/>
      <c r="L624"/>
    </row>
    <row r="625" spans="1:12" s="4" customFormat="1">
      <c r="A625" s="37" t="s">
        <v>458</v>
      </c>
      <c r="B625" s="37"/>
      <c r="C625" s="37" t="s">
        <v>459</v>
      </c>
      <c r="D625" s="37"/>
      <c r="E625" s="37"/>
      <c r="F625" s="39">
        <v>2000</v>
      </c>
      <c r="G625" s="39">
        <v>0</v>
      </c>
      <c r="H625" s="39">
        <v>16660.78</v>
      </c>
      <c r="I625" s="39">
        <v>16660.78</v>
      </c>
      <c r="J625" s="39">
        <v>20000</v>
      </c>
      <c r="K625" s="145"/>
    </row>
    <row r="626" spans="1:12" s="3" customFormat="1" ht="15.75" thickBot="1">
      <c r="A626" s="9"/>
      <c r="B626" s="9"/>
      <c r="C626" s="9" t="s">
        <v>972</v>
      </c>
      <c r="D626" s="9"/>
      <c r="E626" s="9"/>
      <c r="F626" s="35">
        <f>SUM(F624:F625)</f>
        <v>7000</v>
      </c>
      <c r="G626" s="35">
        <f t="shared" ref="G626:J626" si="164">SUM(G624:G625)</f>
        <v>0</v>
      </c>
      <c r="H626" s="35">
        <f t="shared" si="164"/>
        <v>21164.66</v>
      </c>
      <c r="I626" s="35">
        <f t="shared" si="164"/>
        <v>21164.66</v>
      </c>
      <c r="J626" s="35">
        <f t="shared" si="164"/>
        <v>25000</v>
      </c>
      <c r="K626" s="109"/>
    </row>
    <row r="627" spans="1:12" ht="15.75" thickTop="1">
      <c r="A627" s="19"/>
      <c r="B627" s="19"/>
      <c r="C627" s="19"/>
      <c r="D627" s="19"/>
      <c r="E627" s="19"/>
      <c r="F627" s="20"/>
      <c r="G627" s="20"/>
      <c r="H627" s="20"/>
      <c r="I627" s="20"/>
      <c r="J627" s="20"/>
      <c r="K627" s="143"/>
    </row>
    <row r="628" spans="1:12">
      <c r="A628" s="19"/>
      <c r="B628" s="19"/>
      <c r="C628" s="19" t="s">
        <v>217</v>
      </c>
      <c r="D628" s="19"/>
      <c r="E628" s="19"/>
      <c r="F628" s="20"/>
      <c r="G628" s="20"/>
      <c r="H628" s="20"/>
      <c r="I628" s="20"/>
      <c r="J628" s="20"/>
      <c r="K628" s="143"/>
    </row>
    <row r="629" spans="1:12">
      <c r="A629" s="19" t="s">
        <v>460</v>
      </c>
      <c r="B629" s="19"/>
      <c r="C629" s="19" t="s">
        <v>461</v>
      </c>
      <c r="D629" s="19"/>
      <c r="E629" s="19"/>
      <c r="F629" s="11">
        <v>1000</v>
      </c>
      <c r="G629" s="11">
        <v>0</v>
      </c>
      <c r="H629" s="11">
        <v>672.03</v>
      </c>
      <c r="I629" s="11">
        <v>672.03</v>
      </c>
      <c r="J629" s="11">
        <v>1000</v>
      </c>
      <c r="K629" s="114"/>
      <c r="L629"/>
    </row>
    <row r="630" spans="1:12" s="3" customFormat="1" ht="15.75" thickBot="1">
      <c r="A630" s="9" t="s">
        <v>6</v>
      </c>
      <c r="B630" s="9"/>
      <c r="C630" s="9" t="s">
        <v>961</v>
      </c>
      <c r="D630" s="9"/>
      <c r="E630" s="9"/>
      <c r="F630" s="35">
        <f>SUM(F629)</f>
        <v>1000</v>
      </c>
      <c r="G630" s="35">
        <f t="shared" ref="G630:J630" si="165">SUM(G629)</f>
        <v>0</v>
      </c>
      <c r="H630" s="35">
        <f t="shared" si="165"/>
        <v>672.03</v>
      </c>
      <c r="I630" s="35">
        <f t="shared" si="165"/>
        <v>672.03</v>
      </c>
      <c r="J630" s="35">
        <f t="shared" si="165"/>
        <v>1000</v>
      </c>
      <c r="K630" s="109"/>
    </row>
    <row r="631" spans="1:12" ht="15.75" thickTop="1">
      <c r="A631" s="19"/>
      <c r="B631" s="19"/>
      <c r="C631" s="19"/>
      <c r="D631" s="19"/>
      <c r="E631" s="19"/>
      <c r="F631" s="11"/>
      <c r="G631" s="11"/>
      <c r="H631" s="11"/>
      <c r="I631" s="11"/>
      <c r="J631" s="11"/>
      <c r="K631" s="114"/>
      <c r="L631"/>
    </row>
    <row r="632" spans="1:12">
      <c r="A632" s="19" t="s">
        <v>6</v>
      </c>
      <c r="B632" s="19"/>
      <c r="C632" s="19" t="s">
        <v>24</v>
      </c>
      <c r="D632" s="19"/>
      <c r="E632" s="19"/>
      <c r="F632" s="11" t="s">
        <v>6</v>
      </c>
      <c r="G632" s="11" t="s">
        <v>6</v>
      </c>
      <c r="H632" s="11" t="s">
        <v>6</v>
      </c>
      <c r="I632" s="11" t="s">
        <v>6</v>
      </c>
      <c r="J632" s="11" t="s">
        <v>6</v>
      </c>
      <c r="K632" s="114"/>
      <c r="L632"/>
    </row>
    <row r="633" spans="1:12" s="4" customFormat="1">
      <c r="A633" s="37" t="s">
        <v>523</v>
      </c>
      <c r="B633" s="37"/>
      <c r="C633" s="37" t="s">
        <v>24</v>
      </c>
      <c r="D633" s="37"/>
      <c r="E633" s="37"/>
      <c r="F633" s="39">
        <v>0</v>
      </c>
      <c r="G633" s="39">
        <v>0</v>
      </c>
      <c r="H633" s="39">
        <v>0</v>
      </c>
      <c r="I633" s="39">
        <v>0</v>
      </c>
      <c r="J633" s="39">
        <v>0</v>
      </c>
      <c r="K633" s="145" t="s">
        <v>915</v>
      </c>
      <c r="L633" s="39"/>
    </row>
    <row r="634" spans="1:12" s="3" customFormat="1" ht="15.75" thickBot="1">
      <c r="A634" s="9" t="s">
        <v>6</v>
      </c>
      <c r="B634" s="9"/>
      <c r="C634" s="9" t="s">
        <v>980</v>
      </c>
      <c r="D634" s="9"/>
      <c r="E634" s="9"/>
      <c r="F634" s="35">
        <f>SUM(F633)</f>
        <v>0</v>
      </c>
      <c r="G634" s="35">
        <f t="shared" ref="G634:J634" si="166">SUM(G633)</f>
        <v>0</v>
      </c>
      <c r="H634" s="35">
        <f t="shared" si="166"/>
        <v>0</v>
      </c>
      <c r="I634" s="35">
        <f t="shared" si="166"/>
        <v>0</v>
      </c>
      <c r="J634" s="35">
        <f t="shared" si="166"/>
        <v>0</v>
      </c>
      <c r="K634" s="109"/>
    </row>
    <row r="635" spans="1:12" ht="15.75" thickTop="1">
      <c r="A635" s="19"/>
      <c r="B635" s="19"/>
      <c r="C635" s="19"/>
      <c r="D635" s="19"/>
      <c r="E635" s="19"/>
      <c r="F635" s="11"/>
      <c r="G635" s="11"/>
      <c r="H635" s="11"/>
      <c r="I635" s="11"/>
      <c r="J635" s="11"/>
      <c r="K635" s="114"/>
      <c r="L635"/>
    </row>
    <row r="636" spans="1:12">
      <c r="A636" s="19" t="s">
        <v>6</v>
      </c>
      <c r="B636" s="19"/>
      <c r="C636" s="19" t="s">
        <v>30</v>
      </c>
      <c r="D636" s="19"/>
      <c r="E636" s="19"/>
      <c r="F636" s="11" t="s">
        <v>6</v>
      </c>
      <c r="G636" s="11" t="s">
        <v>6</v>
      </c>
      <c r="H636" s="11" t="s">
        <v>6</v>
      </c>
      <c r="I636" s="11" t="s">
        <v>6</v>
      </c>
      <c r="J636" s="11" t="s">
        <v>6</v>
      </c>
      <c r="K636" s="114"/>
      <c r="L636"/>
    </row>
    <row r="637" spans="1:12">
      <c r="A637" s="19" t="s">
        <v>847</v>
      </c>
      <c r="B637" s="19"/>
      <c r="C637" s="19" t="s">
        <v>849</v>
      </c>
      <c r="D637" s="19"/>
      <c r="E637" s="19"/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4"/>
      <c r="L637"/>
    </row>
    <row r="638" spans="1:12" s="3" customFormat="1" ht="15.75" thickBot="1">
      <c r="A638" s="9" t="s">
        <v>6</v>
      </c>
      <c r="B638" s="9"/>
      <c r="C638" s="9" t="s">
        <v>974</v>
      </c>
      <c r="D638" s="9"/>
      <c r="E638" s="9"/>
      <c r="F638" s="35">
        <f>SUM(F637)</f>
        <v>0</v>
      </c>
      <c r="G638" s="35">
        <f t="shared" ref="G638:J638" si="167">SUM(G637)</f>
        <v>0</v>
      </c>
      <c r="H638" s="35">
        <f t="shared" si="167"/>
        <v>0</v>
      </c>
      <c r="I638" s="35">
        <f t="shared" si="167"/>
        <v>0</v>
      </c>
      <c r="J638" s="35">
        <f t="shared" si="167"/>
        <v>0</v>
      </c>
      <c r="K638" s="109"/>
    </row>
    <row r="639" spans="1:12" ht="15.75" thickTop="1">
      <c r="A639" s="19"/>
      <c r="B639" s="19"/>
      <c r="C639" s="19"/>
      <c r="D639" s="19"/>
      <c r="E639" s="19"/>
      <c r="F639" s="11"/>
      <c r="G639" s="11"/>
      <c r="H639" s="11"/>
      <c r="I639" s="11"/>
      <c r="J639" s="11"/>
      <c r="K639" s="114"/>
      <c r="L639"/>
    </row>
    <row r="640" spans="1:12" ht="15.75" thickBot="1">
      <c r="A640" s="19"/>
      <c r="B640" s="19"/>
      <c r="C640" s="9" t="s">
        <v>990</v>
      </c>
      <c r="D640" s="9"/>
      <c r="E640" s="9"/>
      <c r="F640" s="35">
        <f>F615+F621+F626+F630+F634+F638</f>
        <v>45686</v>
      </c>
      <c r="G640" s="35">
        <f t="shared" ref="G640:J640" si="168">G615+G621+G626+G630+G634+G638</f>
        <v>0</v>
      </c>
      <c r="H640" s="35">
        <f t="shared" si="168"/>
        <v>59610.22</v>
      </c>
      <c r="I640" s="35">
        <f t="shared" si="168"/>
        <v>60816.072727272724</v>
      </c>
      <c r="J640" s="35">
        <f t="shared" si="168"/>
        <v>63286</v>
      </c>
      <c r="K640" s="114"/>
      <c r="L640"/>
    </row>
    <row r="641" spans="1:12" ht="15.75" thickTop="1">
      <c r="A641" s="19"/>
      <c r="B641" s="19"/>
      <c r="C641" s="19"/>
      <c r="D641" s="19"/>
      <c r="E641" s="19"/>
      <c r="F641" s="11"/>
      <c r="G641" s="11"/>
      <c r="H641" s="11"/>
      <c r="I641" s="11"/>
      <c r="J641" s="11"/>
      <c r="K641" s="143"/>
    </row>
    <row r="642" spans="1:12">
      <c r="A642" s="19"/>
      <c r="B642" s="19"/>
      <c r="C642" s="19"/>
      <c r="D642" s="19"/>
      <c r="E642" s="19"/>
      <c r="F642" s="11"/>
      <c r="G642" s="11"/>
      <c r="H642" s="11"/>
      <c r="I642" s="11"/>
      <c r="J642" s="11"/>
      <c r="K642" s="143"/>
    </row>
    <row r="643" spans="1:12">
      <c r="A643" s="250" t="s">
        <v>808</v>
      </c>
      <c r="B643" s="250"/>
      <c r="C643" s="250"/>
      <c r="D643" s="250"/>
      <c r="E643" s="250"/>
      <c r="F643" s="250"/>
      <c r="G643" s="250"/>
      <c r="H643" s="250"/>
      <c r="I643" s="250"/>
      <c r="J643" s="250"/>
      <c r="K643" s="250"/>
      <c r="L643"/>
    </row>
    <row r="644" spans="1:12">
      <c r="A644" s="19" t="s">
        <v>6</v>
      </c>
      <c r="B644" s="19"/>
      <c r="C644" s="19" t="s">
        <v>462</v>
      </c>
      <c r="D644" s="19"/>
      <c r="E644" s="19"/>
      <c r="F644" s="11" t="s">
        <v>6</v>
      </c>
      <c r="G644" s="11" t="s">
        <v>282</v>
      </c>
      <c r="H644" s="11" t="s">
        <v>6</v>
      </c>
      <c r="I644" s="11" t="s">
        <v>6</v>
      </c>
      <c r="J644" s="11" t="s">
        <v>6</v>
      </c>
      <c r="K644" s="143"/>
    </row>
    <row r="645" spans="1:12" s="4" customFormat="1">
      <c r="A645" s="37" t="s">
        <v>463</v>
      </c>
      <c r="B645" s="37"/>
      <c r="C645" s="37" t="s">
        <v>464</v>
      </c>
      <c r="D645" s="37"/>
      <c r="E645" s="37"/>
      <c r="F645" s="39">
        <v>20000</v>
      </c>
      <c r="G645" s="39">
        <v>0</v>
      </c>
      <c r="H645" s="39">
        <v>3741.57</v>
      </c>
      <c r="I645" s="39">
        <f t="shared" ref="I645:I647" si="169">(H645/11)*12</f>
        <v>4081.7127272727275</v>
      </c>
      <c r="J645" s="39">
        <v>4000</v>
      </c>
      <c r="K645" s="145"/>
    </row>
    <row r="646" spans="1:12" s="4" customFormat="1">
      <c r="A646" s="37" t="s">
        <v>465</v>
      </c>
      <c r="B646" s="37"/>
      <c r="C646" s="37" t="s">
        <v>19</v>
      </c>
      <c r="D646" s="37"/>
      <c r="E646" s="37"/>
      <c r="F646" s="39">
        <v>17000</v>
      </c>
      <c r="G646" s="39">
        <v>0</v>
      </c>
      <c r="H646" s="39">
        <v>16999.72</v>
      </c>
      <c r="I646" s="39">
        <f t="shared" si="169"/>
        <v>18545.149090909094</v>
      </c>
      <c r="J646" s="39">
        <v>17000</v>
      </c>
      <c r="K646" s="145"/>
    </row>
    <row r="647" spans="1:12" s="4" customFormat="1">
      <c r="A647" s="37" t="s">
        <v>466</v>
      </c>
      <c r="B647" s="37"/>
      <c r="C647" s="37" t="s">
        <v>419</v>
      </c>
      <c r="D647" s="37"/>
      <c r="E647" s="37"/>
      <c r="F647" s="39">
        <v>6000</v>
      </c>
      <c r="G647" s="39">
        <v>0</v>
      </c>
      <c r="H647" s="39">
        <v>5856.99</v>
      </c>
      <c r="I647" s="39">
        <f t="shared" si="169"/>
        <v>6389.443636363636</v>
      </c>
      <c r="J647" s="39">
        <v>6000</v>
      </c>
      <c r="K647" s="145"/>
    </row>
    <row r="648" spans="1:12" s="4" customFormat="1">
      <c r="A648" s="37" t="s">
        <v>467</v>
      </c>
      <c r="B648" s="37"/>
      <c r="C648" s="37" t="s">
        <v>468</v>
      </c>
      <c r="D648" s="37"/>
      <c r="E648" s="37"/>
      <c r="F648" s="39">
        <v>500</v>
      </c>
      <c r="G648" s="39">
        <v>0</v>
      </c>
      <c r="H648" s="39">
        <v>360</v>
      </c>
      <c r="I648" s="39">
        <v>360</v>
      </c>
      <c r="J648" s="39">
        <v>360</v>
      </c>
      <c r="K648" s="145"/>
    </row>
    <row r="649" spans="1:12" s="3" customFormat="1" ht="15.75" thickBot="1">
      <c r="A649" s="9"/>
      <c r="B649" s="9"/>
      <c r="C649" s="9" t="s">
        <v>955</v>
      </c>
      <c r="D649" s="9"/>
      <c r="E649" s="9"/>
      <c r="F649" s="35">
        <f>SUM(F645:F648)</f>
        <v>43500</v>
      </c>
      <c r="G649" s="35">
        <f t="shared" ref="G649:J649" si="170">SUM(G645:G648)</f>
        <v>0</v>
      </c>
      <c r="H649" s="35">
        <f t="shared" si="170"/>
        <v>26958.28</v>
      </c>
      <c r="I649" s="35">
        <f t="shared" si="170"/>
        <v>29376.305454545458</v>
      </c>
      <c r="J649" s="35">
        <f t="shared" si="170"/>
        <v>27360</v>
      </c>
      <c r="K649" s="109"/>
    </row>
    <row r="650" spans="1:12" ht="15.75" thickTop="1">
      <c r="A650" s="19"/>
      <c r="B650" s="19"/>
      <c r="C650" s="19"/>
      <c r="D650" s="19"/>
      <c r="E650" s="19"/>
      <c r="F650" s="20"/>
      <c r="G650" s="20"/>
      <c r="H650" s="20"/>
      <c r="I650" s="20"/>
      <c r="J650" s="20"/>
      <c r="K650" s="143"/>
    </row>
    <row r="651" spans="1:12">
      <c r="A651" s="19"/>
      <c r="B651" s="19"/>
      <c r="C651" s="19" t="s">
        <v>204</v>
      </c>
      <c r="D651" s="19"/>
      <c r="E651" s="19"/>
      <c r="F651" s="20"/>
      <c r="G651" s="20"/>
      <c r="H651" s="20"/>
      <c r="I651" s="20"/>
      <c r="J651" s="20"/>
      <c r="K651" s="143"/>
    </row>
    <row r="652" spans="1:12">
      <c r="A652" s="19" t="s">
        <v>469</v>
      </c>
      <c r="B652" s="19"/>
      <c r="C652" s="19" t="s">
        <v>470</v>
      </c>
      <c r="D652" s="19"/>
      <c r="E652" s="19"/>
      <c r="F652" s="11">
        <v>3000</v>
      </c>
      <c r="G652" s="11">
        <v>0</v>
      </c>
      <c r="H652" s="11">
        <v>1445.02</v>
      </c>
      <c r="I652" s="39">
        <f t="shared" ref="I652" si="171">(H652/11)*12</f>
        <v>1576.3854545454546</v>
      </c>
      <c r="J652" s="11">
        <v>2500</v>
      </c>
      <c r="K652" s="114"/>
      <c r="L652"/>
    </row>
    <row r="653" spans="1:12" s="3" customFormat="1" ht="15.75" thickBot="1">
      <c r="A653" s="9" t="s">
        <v>6</v>
      </c>
      <c r="B653" s="9"/>
      <c r="C653" s="9" t="s">
        <v>972</v>
      </c>
      <c r="D653" s="9"/>
      <c r="E653" s="9"/>
      <c r="F653" s="35">
        <f>SUM(F652)</f>
        <v>3000</v>
      </c>
      <c r="G653" s="35">
        <f t="shared" ref="G653:J653" si="172">SUM(G652)</f>
        <v>0</v>
      </c>
      <c r="H653" s="35">
        <f t="shared" si="172"/>
        <v>1445.02</v>
      </c>
      <c r="I653" s="35">
        <f t="shared" si="172"/>
        <v>1576.3854545454546</v>
      </c>
      <c r="J653" s="35">
        <f t="shared" si="172"/>
        <v>2500</v>
      </c>
      <c r="K653" s="109"/>
    </row>
    <row r="654" spans="1:12" ht="15.75" thickTop="1">
      <c r="A654" s="19"/>
      <c r="B654" s="19"/>
      <c r="C654" s="19"/>
      <c r="D654" s="19"/>
      <c r="E654" s="19"/>
      <c r="F654" s="11"/>
      <c r="G654" s="11"/>
      <c r="H654" s="11"/>
      <c r="I654" s="11"/>
      <c r="J654" s="11"/>
      <c r="K654" s="114"/>
      <c r="L654"/>
    </row>
    <row r="655" spans="1:12">
      <c r="A655" s="19" t="s">
        <v>6</v>
      </c>
      <c r="B655" s="19"/>
      <c r="C655" s="19" t="s">
        <v>217</v>
      </c>
      <c r="D655" s="19"/>
      <c r="E655" s="19"/>
      <c r="F655" s="11" t="s">
        <v>6</v>
      </c>
      <c r="G655" s="11" t="s">
        <v>6</v>
      </c>
      <c r="H655" s="11" t="s">
        <v>6</v>
      </c>
      <c r="I655" s="11" t="s">
        <v>6</v>
      </c>
      <c r="J655" s="11" t="s">
        <v>6</v>
      </c>
      <c r="K655" s="143"/>
    </row>
    <row r="656" spans="1:12">
      <c r="A656" s="37" t="s">
        <v>471</v>
      </c>
      <c r="B656" s="37"/>
      <c r="C656" s="37" t="s">
        <v>800</v>
      </c>
      <c r="D656" s="37"/>
      <c r="E656" s="37"/>
      <c r="F656" s="39">
        <v>10000</v>
      </c>
      <c r="G656" s="39">
        <v>0</v>
      </c>
      <c r="H656" s="39">
        <v>7023.07</v>
      </c>
      <c r="I656" s="39">
        <f t="shared" ref="I656" si="173">(H656/11)*12</f>
        <v>7661.5309090909086</v>
      </c>
      <c r="J656" s="39">
        <v>7000</v>
      </c>
      <c r="K656" s="154" t="s">
        <v>911</v>
      </c>
      <c r="L656"/>
    </row>
    <row r="657" spans="1:12" s="3" customFormat="1" ht="15.75" thickBot="1">
      <c r="A657" s="9" t="s">
        <v>6</v>
      </c>
      <c r="B657" s="9"/>
      <c r="C657" s="9" t="s">
        <v>961</v>
      </c>
      <c r="D657" s="9"/>
      <c r="E657" s="9"/>
      <c r="F657" s="35">
        <f>SUM(F656)</f>
        <v>10000</v>
      </c>
      <c r="G657" s="35">
        <f t="shared" ref="G657:J657" si="174">SUM(G656)</f>
        <v>0</v>
      </c>
      <c r="H657" s="35">
        <f t="shared" si="174"/>
        <v>7023.07</v>
      </c>
      <c r="I657" s="35">
        <f t="shared" si="174"/>
        <v>7661.5309090909086</v>
      </c>
      <c r="J657" s="35">
        <f t="shared" si="174"/>
        <v>7000</v>
      </c>
      <c r="K657" s="109"/>
    </row>
    <row r="658" spans="1:12" ht="15.75" thickTop="1">
      <c r="A658" s="19"/>
      <c r="B658" s="19"/>
      <c r="C658" s="19"/>
      <c r="D658" s="19"/>
      <c r="E658" s="19"/>
      <c r="F658" s="11"/>
      <c r="G658" s="11"/>
      <c r="H658" s="11"/>
      <c r="I658" s="11"/>
      <c r="J658" s="11"/>
      <c r="K658" s="143"/>
    </row>
    <row r="659" spans="1:12">
      <c r="A659" s="19"/>
      <c r="B659" s="19"/>
      <c r="C659" s="19" t="s">
        <v>24</v>
      </c>
      <c r="D659" s="19"/>
      <c r="E659" s="19"/>
      <c r="F659" s="20"/>
      <c r="G659" s="20"/>
      <c r="H659" s="20"/>
      <c r="I659" s="20"/>
      <c r="J659" s="20"/>
      <c r="K659" s="143"/>
    </row>
    <row r="660" spans="1:12" s="4" customFormat="1">
      <c r="A660" s="37" t="s">
        <v>524</v>
      </c>
      <c r="B660" s="37"/>
      <c r="C660" s="37" t="s">
        <v>24</v>
      </c>
      <c r="D660" s="37"/>
      <c r="E660" s="37"/>
      <c r="F660" s="39">
        <v>8000</v>
      </c>
      <c r="G660" s="39">
        <v>0</v>
      </c>
      <c r="H660" s="39">
        <v>0</v>
      </c>
      <c r="I660" s="39">
        <v>0</v>
      </c>
      <c r="J660" s="39">
        <v>0</v>
      </c>
      <c r="K660" s="145"/>
    </row>
    <row r="661" spans="1:12" s="3" customFormat="1" ht="15.75" thickBot="1">
      <c r="A661" s="9"/>
      <c r="B661" s="9" t="s">
        <v>6</v>
      </c>
      <c r="C661" s="9" t="s">
        <v>980</v>
      </c>
      <c r="D661" s="9"/>
      <c r="E661" s="9"/>
      <c r="F661" s="35">
        <f>SUM(F660)</f>
        <v>8000</v>
      </c>
      <c r="G661" s="35">
        <f t="shared" ref="G661:J661" si="175">SUM(G660)</f>
        <v>0</v>
      </c>
      <c r="H661" s="35">
        <f t="shared" si="175"/>
        <v>0</v>
      </c>
      <c r="I661" s="35">
        <f t="shared" si="175"/>
        <v>0</v>
      </c>
      <c r="J661" s="35">
        <f t="shared" si="175"/>
        <v>0</v>
      </c>
      <c r="K661" s="109"/>
    </row>
    <row r="662" spans="1:12" ht="15.75" thickTop="1">
      <c r="A662" s="19"/>
      <c r="B662" s="19"/>
      <c r="C662" s="19"/>
      <c r="D662" s="19"/>
      <c r="E662" s="19"/>
      <c r="F662" s="20"/>
      <c r="G662" s="20"/>
      <c r="H662" s="20"/>
      <c r="I662" s="20"/>
      <c r="J662" s="20"/>
      <c r="K662" s="114"/>
      <c r="L662"/>
    </row>
    <row r="663" spans="1:12" ht="15.75" thickBot="1">
      <c r="A663" s="19"/>
      <c r="B663" s="19"/>
      <c r="C663" s="9" t="s">
        <v>991</v>
      </c>
      <c r="D663" s="9"/>
      <c r="E663" s="9"/>
      <c r="F663" s="34">
        <f>F649+F653+F657+F661</f>
        <v>64500</v>
      </c>
      <c r="G663" s="34">
        <f t="shared" ref="G663:J663" si="176">G649+G653+G657+G661</f>
        <v>0</v>
      </c>
      <c r="H663" s="34">
        <f t="shared" si="176"/>
        <v>35426.369999999995</v>
      </c>
      <c r="I663" s="34">
        <f t="shared" si="176"/>
        <v>38614.221818181824</v>
      </c>
      <c r="J663" s="34">
        <f t="shared" si="176"/>
        <v>36860</v>
      </c>
      <c r="K663" s="114"/>
      <c r="L663"/>
    </row>
    <row r="664" spans="1:12" ht="15.75" thickTop="1">
      <c r="A664" s="19"/>
      <c r="B664" s="19"/>
      <c r="C664" s="19"/>
      <c r="D664" s="19"/>
      <c r="E664" s="19"/>
      <c r="F664" s="20"/>
      <c r="G664" s="20"/>
      <c r="H664" s="20"/>
      <c r="I664" s="20"/>
      <c r="J664" s="20"/>
      <c r="K664" s="114"/>
      <c r="L664"/>
    </row>
    <row r="665" spans="1:12">
      <c r="A665" s="19"/>
      <c r="B665" s="19"/>
      <c r="C665" s="19"/>
      <c r="D665" s="19"/>
      <c r="E665" s="19"/>
      <c r="F665" s="20"/>
      <c r="G665" s="20"/>
      <c r="H665" s="20"/>
      <c r="I665" s="20"/>
      <c r="J665" s="20"/>
      <c r="K665" s="114"/>
      <c r="L665"/>
    </row>
    <row r="666" spans="1:12">
      <c r="A666" s="250" t="s">
        <v>809</v>
      </c>
      <c r="B666" s="250"/>
      <c r="C666" s="250"/>
      <c r="D666" s="250"/>
      <c r="E666" s="250"/>
      <c r="F666" s="250"/>
      <c r="G666" s="250"/>
      <c r="H666" s="250"/>
      <c r="I666" s="250"/>
      <c r="J666" s="250"/>
      <c r="K666" s="250"/>
      <c r="L666"/>
    </row>
    <row r="667" spans="1:12">
      <c r="A667" s="19" t="s">
        <v>6</v>
      </c>
      <c r="B667" s="19"/>
      <c r="C667" s="19" t="s">
        <v>196</v>
      </c>
      <c r="D667" s="19"/>
      <c r="E667" s="19"/>
      <c r="F667" s="11" t="s">
        <v>6</v>
      </c>
      <c r="G667" s="11" t="s">
        <v>6</v>
      </c>
      <c r="H667" s="11" t="s">
        <v>6</v>
      </c>
      <c r="I667" s="11" t="s">
        <v>6</v>
      </c>
      <c r="J667" s="29"/>
      <c r="K667" s="1"/>
      <c r="L667"/>
    </row>
    <row r="668" spans="1:12" s="4" customFormat="1">
      <c r="A668" s="37" t="s">
        <v>472</v>
      </c>
      <c r="B668" s="37"/>
      <c r="C668" s="37" t="s">
        <v>1017</v>
      </c>
      <c r="D668" s="37"/>
      <c r="E668" s="37"/>
      <c r="F668" s="39">
        <v>6400</v>
      </c>
      <c r="G668" s="39">
        <v>0</v>
      </c>
      <c r="H668" s="39">
        <v>13587.48</v>
      </c>
      <c r="I668" s="39">
        <v>10706.53</v>
      </c>
      <c r="J668" s="39">
        <v>6400</v>
      </c>
      <c r="K668" s="145"/>
    </row>
    <row r="669" spans="1:12" ht="15.75" thickBot="1">
      <c r="A669" s="19" t="s">
        <v>6</v>
      </c>
      <c r="B669" s="19"/>
      <c r="C669" s="19" t="s">
        <v>964</v>
      </c>
      <c r="D669" s="19"/>
      <c r="E669" s="19"/>
      <c r="F669" s="12">
        <f>SUM(F668)</f>
        <v>6400</v>
      </c>
      <c r="G669" s="12">
        <f t="shared" ref="G669:I669" si="177">SUM(G668)</f>
        <v>0</v>
      </c>
      <c r="H669" s="12">
        <f t="shared" si="177"/>
        <v>13587.48</v>
      </c>
      <c r="I669" s="12">
        <f t="shared" si="177"/>
        <v>10706.53</v>
      </c>
      <c r="J669" s="12">
        <f>SUM(J668)</f>
        <v>6400</v>
      </c>
      <c r="K669" s="114"/>
      <c r="L669"/>
    </row>
    <row r="670" spans="1:12" ht="15.75" thickTop="1">
      <c r="A670" s="19"/>
      <c r="B670" s="19"/>
      <c r="C670" s="19"/>
      <c r="D670" s="19"/>
      <c r="E670" s="19"/>
      <c r="F670" s="11"/>
      <c r="G670" s="11"/>
      <c r="H670" s="11"/>
      <c r="I670" s="11"/>
      <c r="J670" s="11"/>
      <c r="K670" s="114"/>
      <c r="L670"/>
    </row>
    <row r="671" spans="1:12">
      <c r="A671" s="19" t="s">
        <v>6</v>
      </c>
      <c r="B671" s="19"/>
      <c r="C671" s="19" t="s">
        <v>197</v>
      </c>
      <c r="D671" s="19"/>
      <c r="E671" s="19"/>
      <c r="F671" s="11" t="s">
        <v>6</v>
      </c>
      <c r="G671" s="11" t="s">
        <v>6</v>
      </c>
      <c r="H671" s="11" t="s">
        <v>6</v>
      </c>
      <c r="I671" s="11" t="s">
        <v>6</v>
      </c>
      <c r="J671" s="11"/>
      <c r="K671" s="114"/>
      <c r="L671"/>
    </row>
    <row r="672" spans="1:12" s="4" customFormat="1">
      <c r="A672" s="37" t="s">
        <v>473</v>
      </c>
      <c r="B672" s="37"/>
      <c r="C672" s="37" t="s">
        <v>207</v>
      </c>
      <c r="D672" s="37"/>
      <c r="E672" s="37"/>
      <c r="F672" s="39">
        <v>490</v>
      </c>
      <c r="G672" s="39">
        <v>0</v>
      </c>
      <c r="H672" s="39">
        <v>1039.3</v>
      </c>
      <c r="I672" s="39">
        <f>I669*0.0765</f>
        <v>819.04954500000008</v>
      </c>
      <c r="J672" s="39">
        <f>J669*0.0765</f>
        <v>489.59999999999997</v>
      </c>
      <c r="K672" s="150"/>
    </row>
    <row r="673" spans="1:12" ht="15.75" thickBot="1">
      <c r="A673" s="19" t="s">
        <v>6</v>
      </c>
      <c r="B673" s="19"/>
      <c r="C673" s="19" t="s">
        <v>968</v>
      </c>
      <c r="D673" s="19"/>
      <c r="E673" s="19"/>
      <c r="F673" s="12">
        <f>SUM(F672)</f>
        <v>490</v>
      </c>
      <c r="G673" s="12">
        <f t="shared" ref="G673:I673" si="178">SUM(G672)</f>
        <v>0</v>
      </c>
      <c r="H673" s="12">
        <f t="shared" si="178"/>
        <v>1039.3</v>
      </c>
      <c r="I673" s="12">
        <f t="shared" si="178"/>
        <v>819.04954500000008</v>
      </c>
      <c r="J673" s="12">
        <f>SUM(J672)</f>
        <v>489.59999999999997</v>
      </c>
      <c r="K673" s="151"/>
      <c r="L673"/>
    </row>
    <row r="674" spans="1:12" ht="15.75" thickTop="1">
      <c r="A674" s="19"/>
      <c r="B674" s="19"/>
      <c r="C674" s="19"/>
      <c r="D674" s="19"/>
      <c r="E674" s="19"/>
      <c r="F674" s="11"/>
      <c r="G674" s="11"/>
      <c r="H674" s="11"/>
      <c r="I674" s="11"/>
      <c r="J674" s="11"/>
      <c r="K674" s="151"/>
      <c r="L674"/>
    </row>
    <row r="675" spans="1:12" s="3" customFormat="1" ht="15.75" thickBot="1">
      <c r="A675" s="9" t="s">
        <v>6</v>
      </c>
      <c r="B675" s="9"/>
      <c r="C675" s="9" t="s">
        <v>953</v>
      </c>
      <c r="D675" s="9"/>
      <c r="E675" s="9"/>
      <c r="F675" s="35">
        <f>F669+F673</f>
        <v>6890</v>
      </c>
      <c r="G675" s="35">
        <f t="shared" ref="G675:I675" si="179">G669+G673</f>
        <v>0</v>
      </c>
      <c r="H675" s="35">
        <f t="shared" si="179"/>
        <v>14626.779999999999</v>
      </c>
      <c r="I675" s="35">
        <f t="shared" si="179"/>
        <v>11525.579545000001</v>
      </c>
      <c r="J675" s="35">
        <f>J673+J669</f>
        <v>6889.6</v>
      </c>
      <c r="K675" s="149"/>
    </row>
    <row r="676" spans="1:12" ht="15.75" thickTop="1">
      <c r="A676" s="19"/>
      <c r="B676" s="19"/>
      <c r="C676" s="19"/>
      <c r="D676" s="19"/>
      <c r="E676" s="19"/>
      <c r="F676" s="20"/>
      <c r="G676" s="20"/>
      <c r="H676" s="20"/>
      <c r="I676" s="20"/>
      <c r="J676" s="20"/>
      <c r="K676" s="151"/>
      <c r="L676"/>
    </row>
    <row r="677" spans="1:12">
      <c r="A677" s="19"/>
      <c r="B677" s="19"/>
      <c r="C677" s="19" t="s">
        <v>202</v>
      </c>
      <c r="D677" s="19"/>
      <c r="E677" s="19"/>
      <c r="F677" s="20"/>
      <c r="G677" s="20"/>
      <c r="H677" s="20"/>
      <c r="I677" s="20"/>
      <c r="J677" s="20"/>
      <c r="K677" s="151"/>
      <c r="L677"/>
    </row>
    <row r="678" spans="1:12" s="4" customFormat="1">
      <c r="A678" s="37" t="s">
        <v>474</v>
      </c>
      <c r="B678" s="37"/>
      <c r="C678" s="37" t="s">
        <v>19</v>
      </c>
      <c r="D678" s="37"/>
      <c r="E678" s="37"/>
      <c r="F678" s="39">
        <v>2500</v>
      </c>
      <c r="G678" s="39">
        <v>0</v>
      </c>
      <c r="H678" s="39">
        <v>1885.16</v>
      </c>
      <c r="I678" s="39">
        <f t="shared" ref="I678:I681" si="180">(H678/11)*12</f>
        <v>2056.5381818181818</v>
      </c>
      <c r="J678" s="39">
        <v>2700</v>
      </c>
      <c r="K678" s="145"/>
    </row>
    <row r="679" spans="1:12" s="4" customFormat="1">
      <c r="A679" s="37" t="s">
        <v>475</v>
      </c>
      <c r="B679" s="37"/>
      <c r="C679" s="37" t="s">
        <v>419</v>
      </c>
      <c r="D679" s="37"/>
      <c r="E679" s="37"/>
      <c r="F679" s="39">
        <v>850</v>
      </c>
      <c r="G679" s="39">
        <v>0</v>
      </c>
      <c r="H679" s="39">
        <v>885.66</v>
      </c>
      <c r="I679" s="39">
        <f t="shared" si="180"/>
        <v>966.17454545454552</v>
      </c>
      <c r="J679" s="39">
        <v>1000</v>
      </c>
      <c r="K679" s="150"/>
    </row>
    <row r="680" spans="1:12" s="4" customFormat="1">
      <c r="A680" s="37" t="s">
        <v>476</v>
      </c>
      <c r="B680" s="37"/>
      <c r="C680" s="37" t="s">
        <v>477</v>
      </c>
      <c r="D680" s="37"/>
      <c r="E680" s="37"/>
      <c r="F680" s="39">
        <v>500</v>
      </c>
      <c r="G680" s="39">
        <v>0</v>
      </c>
      <c r="H680" s="39">
        <v>2045.58</v>
      </c>
      <c r="I680" s="39">
        <f t="shared" si="180"/>
        <v>2231.5418181818181</v>
      </c>
      <c r="J680" s="39">
        <f>(173.52*12)+(1.99*12)</f>
        <v>2106.1200000000003</v>
      </c>
      <c r="K680" s="150"/>
    </row>
    <row r="681" spans="1:12" s="4" customFormat="1">
      <c r="A681" s="37" t="s">
        <v>478</v>
      </c>
      <c r="B681" s="37"/>
      <c r="C681" s="37" t="s">
        <v>479</v>
      </c>
      <c r="D681" s="37"/>
      <c r="E681" s="37"/>
      <c r="F681" s="39">
        <v>1500</v>
      </c>
      <c r="G681" s="39">
        <v>0</v>
      </c>
      <c r="H681" s="39">
        <v>1305</v>
      </c>
      <c r="I681" s="39">
        <f t="shared" si="180"/>
        <v>1423.6363636363637</v>
      </c>
      <c r="J681" s="39">
        <v>1500</v>
      </c>
      <c r="K681" s="150"/>
    </row>
    <row r="682" spans="1:12" s="3" customFormat="1" ht="15.75" thickBot="1">
      <c r="A682" s="9" t="s">
        <v>6</v>
      </c>
      <c r="B682" s="9"/>
      <c r="C682" s="9" t="s">
        <v>955</v>
      </c>
      <c r="D682" s="9"/>
      <c r="E682" s="9"/>
      <c r="F682" s="35">
        <f>SUM(F678:F681)</f>
        <v>5350</v>
      </c>
      <c r="G682" s="35">
        <f t="shared" ref="G682:J682" si="181">SUM(G678:G681)</f>
        <v>0</v>
      </c>
      <c r="H682" s="35">
        <f t="shared" si="181"/>
        <v>6121.4</v>
      </c>
      <c r="I682" s="35">
        <f t="shared" si="181"/>
        <v>6677.8909090909092</v>
      </c>
      <c r="J682" s="35">
        <f t="shared" si="181"/>
        <v>7306.1200000000008</v>
      </c>
      <c r="K682" s="149"/>
    </row>
    <row r="683" spans="1:12" ht="15.75" thickTop="1">
      <c r="A683" s="19"/>
      <c r="B683" s="19"/>
      <c r="C683" s="19"/>
      <c r="D683" s="19"/>
      <c r="E683" s="19"/>
      <c r="F683" s="11"/>
      <c r="G683" s="11"/>
      <c r="H683" s="11"/>
      <c r="I683" s="11"/>
      <c r="J683" s="11"/>
      <c r="K683" s="151"/>
      <c r="L683"/>
    </row>
    <row r="684" spans="1:12">
      <c r="A684" s="19" t="s">
        <v>6</v>
      </c>
      <c r="B684" s="19"/>
      <c r="C684" s="19" t="s">
        <v>204</v>
      </c>
      <c r="D684" s="19"/>
      <c r="E684" s="19"/>
      <c r="F684" s="11" t="s">
        <v>6</v>
      </c>
      <c r="G684" s="11" t="s">
        <v>6</v>
      </c>
      <c r="H684" s="11" t="s">
        <v>6</v>
      </c>
      <c r="I684" s="11" t="s">
        <v>6</v>
      </c>
      <c r="J684" s="11"/>
      <c r="K684" s="151"/>
      <c r="L684"/>
    </row>
    <row r="685" spans="1:12" s="4" customFormat="1">
      <c r="A685" s="37" t="s">
        <v>480</v>
      </c>
      <c r="B685" s="37"/>
      <c r="C685" s="37" t="s">
        <v>275</v>
      </c>
      <c r="D685" s="37"/>
      <c r="E685" s="37"/>
      <c r="F685" s="39">
        <v>500</v>
      </c>
      <c r="G685" s="39">
        <v>0</v>
      </c>
      <c r="H685" s="39">
        <v>1909.97</v>
      </c>
      <c r="I685" s="39">
        <f t="shared" ref="I685" si="182">(H685/11)*12</f>
        <v>2083.6036363636363</v>
      </c>
      <c r="J685" s="39">
        <v>500</v>
      </c>
      <c r="K685" s="150"/>
    </row>
    <row r="686" spans="1:12" s="3" customFormat="1" ht="15.75" thickBot="1">
      <c r="A686" s="9" t="s">
        <v>6</v>
      </c>
      <c r="B686" s="9"/>
      <c r="C686" s="9" t="s">
        <v>956</v>
      </c>
      <c r="D686" s="9"/>
      <c r="E686" s="9"/>
      <c r="F686" s="35">
        <f>SUM(F685)</f>
        <v>500</v>
      </c>
      <c r="G686" s="35">
        <f t="shared" ref="G686:I686" si="183">SUM(G685)</f>
        <v>0</v>
      </c>
      <c r="H686" s="35">
        <f t="shared" si="183"/>
        <v>1909.97</v>
      </c>
      <c r="I686" s="35">
        <f t="shared" si="183"/>
        <v>2083.6036363636363</v>
      </c>
      <c r="J686" s="35">
        <f>SUM(J685)</f>
        <v>500</v>
      </c>
      <c r="K686" s="149"/>
    </row>
    <row r="687" spans="1:12" ht="15.75" thickTop="1">
      <c r="A687" s="19"/>
      <c r="B687" s="19"/>
      <c r="C687" s="19"/>
      <c r="D687" s="19"/>
      <c r="E687" s="19"/>
      <c r="F687" s="11"/>
      <c r="G687" s="11"/>
      <c r="H687" s="11"/>
      <c r="I687" s="11"/>
      <c r="J687" s="11"/>
      <c r="K687" s="151"/>
      <c r="L687"/>
    </row>
    <row r="688" spans="1:12">
      <c r="A688" s="19" t="s">
        <v>6</v>
      </c>
      <c r="B688" s="19"/>
      <c r="C688" s="19" t="s">
        <v>24</v>
      </c>
      <c r="D688" s="19"/>
      <c r="E688" s="19"/>
      <c r="F688" s="11" t="s">
        <v>6</v>
      </c>
      <c r="G688" s="11" t="s">
        <v>6</v>
      </c>
      <c r="H688" s="11" t="s">
        <v>6</v>
      </c>
      <c r="I688" s="11" t="s">
        <v>6</v>
      </c>
      <c r="J688" s="11"/>
      <c r="K688" s="151"/>
      <c r="L688"/>
    </row>
    <row r="689" spans="1:12">
      <c r="A689" s="19" t="s">
        <v>525</v>
      </c>
      <c r="B689" s="19"/>
      <c r="C689" s="19" t="s">
        <v>24</v>
      </c>
      <c r="D689" s="19"/>
      <c r="E689" s="19"/>
      <c r="F689" s="11">
        <v>0</v>
      </c>
      <c r="G689" s="11">
        <v>0</v>
      </c>
      <c r="H689" s="11">
        <v>0</v>
      </c>
      <c r="I689" s="11">
        <v>0</v>
      </c>
      <c r="J689" s="11">
        <v>0</v>
      </c>
      <c r="K689" s="151"/>
      <c r="L689"/>
    </row>
    <row r="690" spans="1:12" s="3" customFormat="1" ht="15.75" thickBot="1">
      <c r="A690" s="9"/>
      <c r="B690" s="9"/>
      <c r="C690" s="9" t="s">
        <v>980</v>
      </c>
      <c r="D690" s="9"/>
      <c r="E690" s="9"/>
      <c r="F690" s="35">
        <f>SUM(F689)</f>
        <v>0</v>
      </c>
      <c r="G690" s="35">
        <f t="shared" ref="G690:I690" si="184">SUM(G689)</f>
        <v>0</v>
      </c>
      <c r="H690" s="35">
        <f t="shared" si="184"/>
        <v>0</v>
      </c>
      <c r="I690" s="35">
        <f t="shared" si="184"/>
        <v>0</v>
      </c>
      <c r="J690" s="35">
        <f>SUM(J689)</f>
        <v>0</v>
      </c>
      <c r="K690" s="149"/>
    </row>
    <row r="691" spans="1:12" ht="15.75" thickTop="1">
      <c r="A691" s="19"/>
      <c r="B691" s="19"/>
      <c r="C691" s="19"/>
      <c r="D691" s="19"/>
      <c r="E691" s="19"/>
      <c r="F691" s="20"/>
      <c r="G691" s="20"/>
      <c r="H691" s="20"/>
      <c r="I691" s="20"/>
      <c r="J691" s="20"/>
      <c r="K691" s="151"/>
      <c r="L691"/>
    </row>
    <row r="692" spans="1:12" ht="15.75" thickBot="1">
      <c r="A692" s="19"/>
      <c r="B692" s="19"/>
      <c r="C692" s="9" t="s">
        <v>992</v>
      </c>
      <c r="D692" s="19"/>
      <c r="E692" s="19"/>
      <c r="F692" s="34">
        <f>F675+F682+F686+F690</f>
        <v>12740</v>
      </c>
      <c r="G692" s="34">
        <f t="shared" ref="G692:J692" si="185">G675+G682+G686+G690</f>
        <v>0</v>
      </c>
      <c r="H692" s="34">
        <f t="shared" si="185"/>
        <v>22658.15</v>
      </c>
      <c r="I692" s="34">
        <f t="shared" si="185"/>
        <v>20287.074090454546</v>
      </c>
      <c r="J692" s="34">
        <f t="shared" si="185"/>
        <v>14695.720000000001</v>
      </c>
      <c r="K692" s="151"/>
      <c r="L692"/>
    </row>
    <row r="693" spans="1:12" ht="15.75" thickTop="1">
      <c r="A693" s="19"/>
      <c r="B693" s="19"/>
      <c r="C693" s="19"/>
      <c r="D693" s="19"/>
      <c r="E693" s="19"/>
      <c r="F693" s="20"/>
      <c r="G693" s="20"/>
      <c r="H693" s="20"/>
      <c r="I693" s="20"/>
      <c r="J693" s="20"/>
      <c r="K693" s="143"/>
      <c r="L693" s="19"/>
    </row>
    <row r="694" spans="1:12">
      <c r="A694" s="19"/>
      <c r="B694" s="19"/>
      <c r="C694" s="19"/>
      <c r="D694" s="19"/>
      <c r="E694" s="19"/>
      <c r="F694" s="20"/>
      <c r="G694" s="20"/>
      <c r="H694" s="20"/>
      <c r="I694" s="20"/>
      <c r="J694" s="20"/>
      <c r="K694" s="143"/>
      <c r="L694" s="19"/>
    </row>
    <row r="695" spans="1:12">
      <c r="A695" s="250" t="s">
        <v>810</v>
      </c>
      <c r="B695" s="250"/>
      <c r="C695" s="250"/>
      <c r="D695" s="250"/>
      <c r="E695" s="250"/>
      <c r="F695" s="250"/>
      <c r="G695" s="250"/>
      <c r="H695" s="250"/>
      <c r="I695" s="250"/>
      <c r="J695" s="250"/>
      <c r="K695" s="250"/>
      <c r="L695"/>
    </row>
    <row r="696" spans="1:12">
      <c r="A696" s="19"/>
      <c r="B696" s="19"/>
      <c r="C696" s="19" t="s">
        <v>196</v>
      </c>
      <c r="D696" s="19"/>
      <c r="E696" s="19"/>
      <c r="F696" s="20"/>
      <c r="G696" s="20"/>
      <c r="H696" s="20"/>
      <c r="I696" s="20"/>
      <c r="J696" s="20"/>
      <c r="K696" s="143"/>
      <c r="L696" s="19"/>
    </row>
    <row r="697" spans="1:12" s="4" customFormat="1">
      <c r="A697" s="37" t="s">
        <v>482</v>
      </c>
      <c r="B697" s="37"/>
      <c r="C697" s="37" t="s">
        <v>1018</v>
      </c>
      <c r="D697" s="37"/>
      <c r="E697" s="37"/>
      <c r="F697" s="39">
        <v>65750</v>
      </c>
      <c r="G697" s="39">
        <v>0</v>
      </c>
      <c r="H697" s="39">
        <v>68695.22</v>
      </c>
      <c r="I697" s="39">
        <v>68627.05</v>
      </c>
      <c r="J697" s="39">
        <v>70000</v>
      </c>
      <c r="K697" s="150"/>
    </row>
    <row r="698" spans="1:12" ht="15.75" thickBot="1">
      <c r="A698" s="19"/>
      <c r="B698" s="19"/>
      <c r="C698" s="19" t="s">
        <v>959</v>
      </c>
      <c r="D698" s="19"/>
      <c r="E698" s="19"/>
      <c r="F698" s="12">
        <f>SUM(F697)</f>
        <v>65750</v>
      </c>
      <c r="G698" s="12">
        <f t="shared" ref="G698:I698" si="186">SUM(G697)</f>
        <v>0</v>
      </c>
      <c r="H698" s="12">
        <f t="shared" si="186"/>
        <v>68695.22</v>
      </c>
      <c r="I698" s="12">
        <f t="shared" si="186"/>
        <v>68627.05</v>
      </c>
      <c r="J698" s="12">
        <f>SUM(J697)</f>
        <v>70000</v>
      </c>
      <c r="K698" s="151"/>
      <c r="L698"/>
    </row>
    <row r="699" spans="1:12" ht="15.75" thickTop="1">
      <c r="A699" s="19"/>
      <c r="B699" s="19"/>
      <c r="C699" s="19"/>
      <c r="D699" s="19"/>
      <c r="E699" s="19"/>
      <c r="F699" s="20"/>
      <c r="G699" s="20"/>
      <c r="H699" s="20"/>
      <c r="I699" s="20"/>
      <c r="J699" s="20"/>
      <c r="K699" s="151"/>
      <c r="L699"/>
    </row>
    <row r="700" spans="1:12">
      <c r="A700" s="19"/>
      <c r="B700" s="19"/>
      <c r="C700" s="19" t="s">
        <v>197</v>
      </c>
      <c r="D700" s="19"/>
      <c r="E700" s="19"/>
      <c r="F700" s="20"/>
      <c r="G700" s="20"/>
      <c r="H700" s="20"/>
      <c r="I700" s="20"/>
      <c r="J700" s="20"/>
      <c r="K700" s="151"/>
      <c r="L700"/>
    </row>
    <row r="701" spans="1:12" s="4" customFormat="1">
      <c r="A701" s="37" t="s">
        <v>483</v>
      </c>
      <c r="B701" s="37"/>
      <c r="C701" s="37" t="s">
        <v>207</v>
      </c>
      <c r="D701" s="37"/>
      <c r="E701" s="37"/>
      <c r="F701" s="39">
        <v>5030</v>
      </c>
      <c r="G701" s="39">
        <v>0</v>
      </c>
      <c r="H701" s="39">
        <v>5255.14</v>
      </c>
      <c r="I701" s="39">
        <f>I698*0.0765</f>
        <v>5249.969325</v>
      </c>
      <c r="J701" s="39">
        <f>J698*0.0765</f>
        <v>5355</v>
      </c>
      <c r="K701" s="150" t="s">
        <v>6</v>
      </c>
    </row>
    <row r="702" spans="1:12" ht="15.75" thickBot="1">
      <c r="A702" s="19" t="s">
        <v>6</v>
      </c>
      <c r="B702" s="19"/>
      <c r="C702" s="19" t="s">
        <v>960</v>
      </c>
      <c r="D702" s="19"/>
      <c r="E702" s="19"/>
      <c r="F702" s="12">
        <f>SUM(F701)</f>
        <v>5030</v>
      </c>
      <c r="G702" s="12">
        <f t="shared" ref="G702:I702" si="187">SUM(G701)</f>
        <v>0</v>
      </c>
      <c r="H702" s="12">
        <f t="shared" si="187"/>
        <v>5255.14</v>
      </c>
      <c r="I702" s="12">
        <f t="shared" si="187"/>
        <v>5249.969325</v>
      </c>
      <c r="J702" s="12">
        <f>SUM(J701)</f>
        <v>5355</v>
      </c>
      <c r="K702" s="151"/>
      <c r="L702"/>
    </row>
    <row r="703" spans="1:12" ht="15.75" thickTop="1">
      <c r="A703" s="19"/>
      <c r="B703" s="19"/>
      <c r="C703" s="19"/>
      <c r="D703" s="19"/>
      <c r="E703" s="19"/>
      <c r="F703" s="11"/>
      <c r="G703" s="11"/>
      <c r="H703" s="11"/>
      <c r="I703" s="11"/>
      <c r="J703" s="11"/>
      <c r="K703" s="151"/>
      <c r="L703"/>
    </row>
    <row r="704" spans="1:12" s="3" customFormat="1" ht="15.75" thickBot="1">
      <c r="A704" s="9" t="s">
        <v>6</v>
      </c>
      <c r="B704" s="9"/>
      <c r="C704" s="9" t="s">
        <v>953</v>
      </c>
      <c r="D704" s="9"/>
      <c r="E704" s="9"/>
      <c r="F704" s="35">
        <f>F698+F702</f>
        <v>70780</v>
      </c>
      <c r="G704" s="35">
        <f t="shared" ref="G704:J704" si="188">G698+G702</f>
        <v>0</v>
      </c>
      <c r="H704" s="35">
        <f t="shared" si="188"/>
        <v>73950.36</v>
      </c>
      <c r="I704" s="35">
        <f t="shared" si="188"/>
        <v>73877.019325000001</v>
      </c>
      <c r="J704" s="35">
        <f t="shared" si="188"/>
        <v>75355</v>
      </c>
      <c r="K704" s="149"/>
    </row>
    <row r="705" spans="1:12" ht="15.75" thickTop="1">
      <c r="A705" s="19"/>
      <c r="B705" s="19"/>
      <c r="C705" s="19"/>
      <c r="D705" s="19"/>
      <c r="E705" s="19"/>
      <c r="F705" s="11"/>
      <c r="G705" s="11"/>
      <c r="H705" s="11"/>
      <c r="I705" s="11"/>
      <c r="J705" s="11"/>
      <c r="K705" s="151"/>
      <c r="L705"/>
    </row>
    <row r="706" spans="1:12">
      <c r="A706" s="19" t="s">
        <v>6</v>
      </c>
      <c r="B706" s="19"/>
      <c r="C706" s="19" t="s">
        <v>199</v>
      </c>
      <c r="D706" s="19"/>
      <c r="E706" s="19"/>
      <c r="F706" s="11" t="s">
        <v>6</v>
      </c>
      <c r="G706" s="11" t="s">
        <v>6</v>
      </c>
      <c r="H706" s="11" t="s">
        <v>6</v>
      </c>
      <c r="I706" s="11" t="s">
        <v>6</v>
      </c>
      <c r="J706" s="11"/>
      <c r="K706" s="151"/>
      <c r="L706"/>
    </row>
    <row r="707" spans="1:12">
      <c r="A707" s="19" t="s">
        <v>484</v>
      </c>
      <c r="B707" s="19"/>
      <c r="C707" s="19" t="s">
        <v>485</v>
      </c>
      <c r="D707" s="19"/>
      <c r="E707" s="19"/>
      <c r="F707" s="11">
        <v>1000</v>
      </c>
      <c r="G707" s="11">
        <v>0</v>
      </c>
      <c r="H707" s="11">
        <v>1329.41</v>
      </c>
      <c r="I707" s="11">
        <v>1329.41</v>
      </c>
      <c r="J707" s="11">
        <v>1000</v>
      </c>
      <c r="K707" s="114"/>
      <c r="L707"/>
    </row>
    <row r="708" spans="1:12" s="3" customFormat="1" ht="15.75" thickBot="1">
      <c r="A708" s="9" t="s">
        <v>6</v>
      </c>
      <c r="B708" s="9"/>
      <c r="C708" s="9" t="s">
        <v>954</v>
      </c>
      <c r="D708" s="9"/>
      <c r="E708" s="9"/>
      <c r="F708" s="35">
        <f>SUM(F707)</f>
        <v>1000</v>
      </c>
      <c r="G708" s="35">
        <f t="shared" ref="G708:I708" si="189">SUM(G707)</f>
        <v>0</v>
      </c>
      <c r="H708" s="35">
        <f t="shared" si="189"/>
        <v>1329.41</v>
      </c>
      <c r="I708" s="35">
        <f t="shared" si="189"/>
        <v>1329.41</v>
      </c>
      <c r="J708" s="35">
        <f>SUM(J707)</f>
        <v>1000</v>
      </c>
      <c r="K708" s="109"/>
    </row>
    <row r="709" spans="1:12" ht="15.75" thickTop="1">
      <c r="A709" s="19"/>
      <c r="B709" s="19"/>
      <c r="C709" s="19"/>
      <c r="D709" s="19"/>
      <c r="E709" s="19"/>
      <c r="F709" s="11"/>
      <c r="G709" s="11"/>
      <c r="H709" s="11"/>
      <c r="I709" s="11"/>
      <c r="J709" s="11"/>
      <c r="K709" s="114"/>
      <c r="L709"/>
    </row>
    <row r="710" spans="1:12">
      <c r="A710" s="19" t="s">
        <v>6</v>
      </c>
      <c r="B710" s="19"/>
      <c r="C710" s="19" t="s">
        <v>202</v>
      </c>
      <c r="D710" s="19"/>
      <c r="E710" s="19"/>
      <c r="F710" s="11" t="s">
        <v>6</v>
      </c>
      <c r="G710" s="11" t="s">
        <v>6</v>
      </c>
      <c r="H710" s="11" t="s">
        <v>6</v>
      </c>
      <c r="I710" s="11" t="s">
        <v>6</v>
      </c>
      <c r="J710" s="11"/>
      <c r="K710" s="114"/>
      <c r="L710"/>
    </row>
    <row r="711" spans="1:12">
      <c r="A711" s="19" t="s">
        <v>486</v>
      </c>
      <c r="B711" s="19"/>
      <c r="C711" s="19" t="s">
        <v>243</v>
      </c>
      <c r="D711" s="19"/>
      <c r="E711" s="19"/>
      <c r="F711" s="11">
        <v>250</v>
      </c>
      <c r="G711" s="11">
        <v>0</v>
      </c>
      <c r="H711" s="11">
        <v>270</v>
      </c>
      <c r="I711" s="39">
        <f t="shared" ref="I711:I718" si="190">(H711/11)*12</f>
        <v>294.54545454545456</v>
      </c>
      <c r="J711" s="11">
        <v>240</v>
      </c>
      <c r="K711" s="114"/>
      <c r="L711"/>
    </row>
    <row r="712" spans="1:12" s="4" customFormat="1">
      <c r="A712" s="37" t="s">
        <v>487</v>
      </c>
      <c r="B712" s="37"/>
      <c r="C712" s="37" t="s">
        <v>488</v>
      </c>
      <c r="D712" s="37"/>
      <c r="E712" s="37"/>
      <c r="F712" s="39">
        <v>2375</v>
      </c>
      <c r="G712" s="39">
        <v>0</v>
      </c>
      <c r="H712" s="39">
        <v>1575</v>
      </c>
      <c r="I712" s="39">
        <f t="shared" si="190"/>
        <v>1718.1818181818182</v>
      </c>
      <c r="J712" s="39">
        <v>2000</v>
      </c>
      <c r="K712" s="145"/>
    </row>
    <row r="713" spans="1:12">
      <c r="A713" s="19" t="s">
        <v>489</v>
      </c>
      <c r="B713" s="19"/>
      <c r="C713" s="19" t="s">
        <v>19</v>
      </c>
      <c r="D713" s="19"/>
      <c r="E713" s="19"/>
      <c r="F713" s="11">
        <v>7500</v>
      </c>
      <c r="G713" s="11">
        <v>0</v>
      </c>
      <c r="H713" s="11">
        <v>6963.21</v>
      </c>
      <c r="I713" s="39">
        <f t="shared" si="190"/>
        <v>7596.2290909090907</v>
      </c>
      <c r="J713" s="11">
        <v>7500</v>
      </c>
      <c r="K713" s="114"/>
      <c r="L713"/>
    </row>
    <row r="714" spans="1:12">
      <c r="A714" s="19" t="s">
        <v>490</v>
      </c>
      <c r="B714" s="19"/>
      <c r="C714" s="19" t="s">
        <v>419</v>
      </c>
      <c r="D714" s="19"/>
      <c r="E714" s="19"/>
      <c r="F714" s="11">
        <v>2100</v>
      </c>
      <c r="G714" s="11">
        <v>0</v>
      </c>
      <c r="H714" s="11">
        <v>1984.12</v>
      </c>
      <c r="I714" s="39">
        <f t="shared" si="190"/>
        <v>2164.4945454545455</v>
      </c>
      <c r="J714" s="11">
        <v>2100</v>
      </c>
      <c r="K714" s="114"/>
      <c r="L714"/>
    </row>
    <row r="715" spans="1:12">
      <c r="A715" s="19" t="s">
        <v>491</v>
      </c>
      <c r="B715" s="19"/>
      <c r="C715" s="19" t="s">
        <v>492</v>
      </c>
      <c r="D715" s="19"/>
      <c r="E715" s="19"/>
      <c r="F715" s="11">
        <v>600</v>
      </c>
      <c r="G715" s="11">
        <v>0</v>
      </c>
      <c r="H715" s="11">
        <v>867.67</v>
      </c>
      <c r="I715" s="39">
        <f t="shared" si="190"/>
        <v>946.54909090909086</v>
      </c>
      <c r="J715" s="11">
        <v>450</v>
      </c>
      <c r="K715" s="114"/>
      <c r="L715"/>
    </row>
    <row r="716" spans="1:12">
      <c r="A716" s="19" t="s">
        <v>493</v>
      </c>
      <c r="B716" s="19"/>
      <c r="C716" s="19" t="s">
        <v>494</v>
      </c>
      <c r="D716" s="19"/>
      <c r="E716" s="19"/>
      <c r="F716" s="11">
        <v>700</v>
      </c>
      <c r="G716" s="11">
        <v>0</v>
      </c>
      <c r="H716" s="11">
        <v>879.95</v>
      </c>
      <c r="I716" s="39">
        <f t="shared" si="190"/>
        <v>959.9454545454546</v>
      </c>
      <c r="J716" s="11">
        <v>700</v>
      </c>
      <c r="K716" s="114"/>
      <c r="L716"/>
    </row>
    <row r="717" spans="1:12" s="4" customFormat="1">
      <c r="A717" s="37" t="s">
        <v>495</v>
      </c>
      <c r="B717" s="37"/>
      <c r="C717" s="37" t="s">
        <v>496</v>
      </c>
      <c r="D717" s="37"/>
      <c r="E717" s="37"/>
      <c r="F717" s="39">
        <v>9500</v>
      </c>
      <c r="G717" s="39">
        <v>0</v>
      </c>
      <c r="H717" s="39">
        <v>7495.65</v>
      </c>
      <c r="I717" s="39">
        <f t="shared" si="190"/>
        <v>8177.0727272727272</v>
      </c>
      <c r="J717" s="39">
        <v>7500</v>
      </c>
      <c r="K717" s="145"/>
    </row>
    <row r="718" spans="1:12">
      <c r="A718" s="19" t="s">
        <v>497</v>
      </c>
      <c r="B718" s="19"/>
      <c r="C718" s="19" t="s">
        <v>269</v>
      </c>
      <c r="D718" s="19"/>
      <c r="E718" s="19"/>
      <c r="F718" s="11">
        <v>4000</v>
      </c>
      <c r="G718" s="11">
        <v>0</v>
      </c>
      <c r="H718" s="11">
        <v>2370.16</v>
      </c>
      <c r="I718" s="39">
        <f t="shared" si="190"/>
        <v>2585.6290909090908</v>
      </c>
      <c r="J718" s="11">
        <v>2460</v>
      </c>
      <c r="K718" s="114"/>
      <c r="L718"/>
    </row>
    <row r="719" spans="1:12" s="3" customFormat="1" ht="15.75" thickBot="1">
      <c r="A719" s="9"/>
      <c r="B719" s="9"/>
      <c r="C719" s="9" t="s">
        <v>955</v>
      </c>
      <c r="D719" s="9"/>
      <c r="E719" s="9"/>
      <c r="F719" s="35">
        <f>SUM(F711:F718)</f>
        <v>27025</v>
      </c>
      <c r="G719" s="35">
        <f t="shared" ref="G719:J719" si="191">SUM(G711:G718)</f>
        <v>0</v>
      </c>
      <c r="H719" s="35">
        <f t="shared" si="191"/>
        <v>22405.759999999998</v>
      </c>
      <c r="I719" s="35">
        <f t="shared" si="191"/>
        <v>24442.64727272727</v>
      </c>
      <c r="J719" s="35">
        <f t="shared" si="191"/>
        <v>22950</v>
      </c>
      <c r="K719" s="109"/>
    </row>
    <row r="720" spans="1:12" ht="15.75" thickTop="1">
      <c r="A720" s="19"/>
      <c r="B720" s="19"/>
      <c r="C720" s="19"/>
      <c r="D720" s="19"/>
      <c r="E720" s="19"/>
      <c r="F720" s="20"/>
      <c r="G720" s="20"/>
      <c r="H720" s="20"/>
      <c r="I720" s="20"/>
      <c r="J720" s="20"/>
      <c r="K720" s="114"/>
      <c r="L720"/>
    </row>
    <row r="721" spans="1:12">
      <c r="A721" s="19"/>
      <c r="B721" s="19"/>
      <c r="C721" s="19" t="s">
        <v>204</v>
      </c>
      <c r="D721" s="19"/>
      <c r="E721" s="19"/>
      <c r="F721" s="20"/>
      <c r="G721" s="20"/>
      <c r="H721" s="20"/>
      <c r="I721" s="20"/>
      <c r="J721" s="20"/>
      <c r="K721" s="114"/>
      <c r="L721"/>
    </row>
    <row r="722" spans="1:12">
      <c r="A722" s="37" t="s">
        <v>801</v>
      </c>
      <c r="B722" s="37" t="s">
        <v>6</v>
      </c>
      <c r="C722" s="37" t="s">
        <v>802</v>
      </c>
      <c r="D722" s="37"/>
      <c r="E722" s="37"/>
      <c r="F722" s="39">
        <v>7000</v>
      </c>
      <c r="G722" s="39">
        <v>0</v>
      </c>
      <c r="H722" s="39">
        <v>7767.96</v>
      </c>
      <c r="I722" s="39">
        <f t="shared" ref="I722:I723" si="192">(H722/11)*12</f>
        <v>8474.1381818181817</v>
      </c>
      <c r="J722" s="39">
        <v>6000</v>
      </c>
      <c r="K722" s="145"/>
      <c r="L722"/>
    </row>
    <row r="723" spans="1:12">
      <c r="A723" s="19" t="s">
        <v>498</v>
      </c>
      <c r="B723" s="19"/>
      <c r="C723" s="19" t="s">
        <v>499</v>
      </c>
      <c r="D723" s="19"/>
      <c r="E723" s="19"/>
      <c r="F723" s="11">
        <v>2370</v>
      </c>
      <c r="G723" s="11">
        <v>0</v>
      </c>
      <c r="H723" s="11">
        <v>1870.39</v>
      </c>
      <c r="I723" s="39">
        <f t="shared" si="192"/>
        <v>2040.4254545454546</v>
      </c>
      <c r="J723" s="11">
        <v>2000</v>
      </c>
      <c r="K723" s="114" t="s">
        <v>6</v>
      </c>
      <c r="L723"/>
    </row>
    <row r="724" spans="1:12" s="3" customFormat="1" ht="15.75" thickBot="1">
      <c r="A724" s="9" t="s">
        <v>6</v>
      </c>
      <c r="B724" s="9"/>
      <c r="C724" s="9" t="s">
        <v>956</v>
      </c>
      <c r="D724" s="9"/>
      <c r="E724" s="9"/>
      <c r="F724" s="35">
        <f>SUM(F722:F723)</f>
        <v>9370</v>
      </c>
      <c r="G724" s="35">
        <f t="shared" ref="G724:J724" si="193">SUM(G722:G723)</f>
        <v>0</v>
      </c>
      <c r="H724" s="35">
        <f t="shared" si="193"/>
        <v>9638.35</v>
      </c>
      <c r="I724" s="35">
        <f t="shared" si="193"/>
        <v>10514.563636363637</v>
      </c>
      <c r="J724" s="35">
        <f t="shared" si="193"/>
        <v>8000</v>
      </c>
      <c r="K724" s="109"/>
    </row>
    <row r="725" spans="1:12" ht="15.75" thickTop="1">
      <c r="A725" s="19"/>
      <c r="B725" s="19"/>
      <c r="C725" s="19"/>
      <c r="D725" s="19"/>
      <c r="E725" s="19"/>
      <c r="F725" s="11"/>
      <c r="G725" s="11"/>
      <c r="H725" s="11"/>
      <c r="I725" s="11"/>
      <c r="J725" s="11"/>
      <c r="K725" s="114"/>
      <c r="L725"/>
    </row>
    <row r="726" spans="1:12">
      <c r="A726" s="19" t="s">
        <v>6</v>
      </c>
      <c r="B726" s="19"/>
      <c r="C726" s="19" t="s">
        <v>423</v>
      </c>
      <c r="D726" s="19"/>
      <c r="E726" s="19"/>
      <c r="F726" s="11" t="s">
        <v>6</v>
      </c>
      <c r="G726" s="11" t="s">
        <v>6</v>
      </c>
      <c r="H726" s="11" t="s">
        <v>6</v>
      </c>
      <c r="I726" s="11" t="s">
        <v>6</v>
      </c>
      <c r="J726" s="11"/>
      <c r="K726" s="114"/>
      <c r="L726"/>
    </row>
    <row r="727" spans="1:12">
      <c r="A727" s="19" t="s">
        <v>500</v>
      </c>
      <c r="B727" s="19"/>
      <c r="C727" s="19" t="s">
        <v>501</v>
      </c>
      <c r="D727" s="19"/>
      <c r="E727" s="19"/>
      <c r="F727" s="11">
        <v>4000</v>
      </c>
      <c r="G727" s="11">
        <v>0</v>
      </c>
      <c r="H727" s="11">
        <v>8309.48</v>
      </c>
      <c r="I727" s="11">
        <v>8309.48</v>
      </c>
      <c r="J727" s="11">
        <v>4000</v>
      </c>
      <c r="K727" s="114"/>
      <c r="L727"/>
    </row>
    <row r="728" spans="1:12" s="3" customFormat="1" ht="15.75" thickBot="1">
      <c r="A728" s="9" t="s">
        <v>6</v>
      </c>
      <c r="B728" s="9"/>
      <c r="C728" s="9" t="s">
        <v>993</v>
      </c>
      <c r="D728" s="9"/>
      <c r="E728" s="9"/>
      <c r="F728" s="35">
        <f>SUM(F727:F727)</f>
        <v>4000</v>
      </c>
      <c r="G728" s="35">
        <f>SUM(G727:G727)</f>
        <v>0</v>
      </c>
      <c r="H728" s="35">
        <f>SUM(H727:H727)</f>
        <v>8309.48</v>
      </c>
      <c r="I728" s="35">
        <f>SUM(I727:I727)</f>
        <v>8309.48</v>
      </c>
      <c r="J728" s="35">
        <f>SUM(J727:J727)</f>
        <v>4000</v>
      </c>
      <c r="K728" s="149"/>
    </row>
    <row r="729" spans="1:12" ht="15.75" thickTop="1">
      <c r="A729" s="19"/>
      <c r="B729" s="19"/>
      <c r="C729" s="19"/>
      <c r="D729" s="19"/>
      <c r="E729" s="19"/>
      <c r="F729" s="11"/>
      <c r="G729" s="11"/>
      <c r="H729" s="11"/>
      <c r="I729" s="11"/>
      <c r="J729" s="11"/>
      <c r="K729" s="151"/>
      <c r="L729"/>
    </row>
    <row r="730" spans="1:12">
      <c r="A730" s="19" t="s">
        <v>6</v>
      </c>
      <c r="B730" s="19"/>
      <c r="C730" s="19" t="s">
        <v>24</v>
      </c>
      <c r="D730" s="19"/>
      <c r="E730" s="19"/>
      <c r="F730" s="11" t="s">
        <v>6</v>
      </c>
      <c r="G730" s="11" t="s">
        <v>6</v>
      </c>
      <c r="H730" s="11" t="s">
        <v>6</v>
      </c>
      <c r="I730" s="11" t="s">
        <v>6</v>
      </c>
      <c r="J730" s="11"/>
      <c r="K730" s="151"/>
      <c r="L730"/>
    </row>
    <row r="731" spans="1:12">
      <c r="A731" s="19" t="s">
        <v>526</v>
      </c>
      <c r="B731" s="19"/>
      <c r="C731" s="19" t="s">
        <v>24</v>
      </c>
      <c r="D731" s="19"/>
      <c r="E731" s="19"/>
      <c r="F731" s="11">
        <v>17000</v>
      </c>
      <c r="G731" s="11">
        <v>0</v>
      </c>
      <c r="H731" s="11">
        <v>16999</v>
      </c>
      <c r="I731" s="11">
        <v>16999</v>
      </c>
      <c r="J731" s="11">
        <v>0</v>
      </c>
      <c r="K731" s="151"/>
      <c r="L731"/>
    </row>
    <row r="732" spans="1:12" s="3" customFormat="1" ht="15.75" thickBot="1">
      <c r="A732" s="9"/>
      <c r="B732" s="9"/>
      <c r="C732" s="9" t="s">
        <v>980</v>
      </c>
      <c r="D732" s="9"/>
      <c r="E732" s="9"/>
      <c r="F732" s="35">
        <f>SUM(F731)</f>
        <v>17000</v>
      </c>
      <c r="G732" s="35">
        <f t="shared" ref="G732:I732" si="194">SUM(G731)</f>
        <v>0</v>
      </c>
      <c r="H732" s="35">
        <f t="shared" si="194"/>
        <v>16999</v>
      </c>
      <c r="I732" s="35">
        <f t="shared" si="194"/>
        <v>16999</v>
      </c>
      <c r="J732" s="35">
        <f>SUM(J731)</f>
        <v>0</v>
      </c>
      <c r="K732" s="149"/>
    </row>
    <row r="733" spans="1:12" ht="15.75" thickTop="1">
      <c r="A733" s="19"/>
      <c r="B733" s="19"/>
      <c r="C733" s="19"/>
      <c r="D733" s="19"/>
      <c r="E733" s="19"/>
      <c r="F733" s="20"/>
      <c r="G733" s="20"/>
      <c r="H733" s="20"/>
      <c r="I733" s="20"/>
      <c r="J733" s="20"/>
      <c r="K733" s="151"/>
      <c r="L733"/>
    </row>
    <row r="734" spans="1:12" ht="15.75" thickBot="1">
      <c r="A734" s="19"/>
      <c r="B734" s="19"/>
      <c r="C734" s="9" t="s">
        <v>994</v>
      </c>
      <c r="D734" s="19"/>
      <c r="E734" s="19"/>
      <c r="F734" s="34">
        <f>F704+F708+F719+F724+F728+F732</f>
        <v>129175</v>
      </c>
      <c r="G734" s="34">
        <f t="shared" ref="G734:J734" si="195">G704+G708+G719+G724+G728+G732</f>
        <v>0</v>
      </c>
      <c r="H734" s="34">
        <f t="shared" si="195"/>
        <v>132632.35999999999</v>
      </c>
      <c r="I734" s="34">
        <f t="shared" si="195"/>
        <v>135472.12023409089</v>
      </c>
      <c r="J734" s="34">
        <f t="shared" si="195"/>
        <v>111305</v>
      </c>
      <c r="K734" s="151"/>
      <c r="L734"/>
    </row>
    <row r="735" spans="1:12" ht="15.75" thickTop="1">
      <c r="A735" s="19"/>
      <c r="B735" s="19"/>
      <c r="C735" s="19"/>
      <c r="D735" s="19"/>
      <c r="E735" s="19"/>
      <c r="F735" s="20"/>
      <c r="G735" s="20"/>
      <c r="H735" s="20"/>
      <c r="I735" s="20"/>
      <c r="J735" s="20"/>
      <c r="K735" s="143"/>
      <c r="L735" s="19"/>
    </row>
    <row r="737" spans="1:12">
      <c r="A737" s="250" t="s">
        <v>854</v>
      </c>
      <c r="B737" s="250"/>
      <c r="C737" s="250"/>
      <c r="D737" s="250"/>
      <c r="E737" s="250"/>
      <c r="F737" s="250"/>
      <c r="G737" s="250"/>
      <c r="H737" s="250"/>
      <c r="I737" s="250"/>
      <c r="J737" s="250"/>
      <c r="K737" s="250"/>
      <c r="L737"/>
    </row>
    <row r="738" spans="1:12">
      <c r="A738" s="19"/>
      <c r="B738" s="19"/>
      <c r="C738" s="19" t="s">
        <v>202</v>
      </c>
      <c r="D738" s="19"/>
      <c r="E738" s="19"/>
      <c r="F738" s="20"/>
      <c r="G738" s="20"/>
      <c r="H738" s="20"/>
      <c r="I738" s="20"/>
      <c r="J738" s="20"/>
      <c r="K738" s="143"/>
      <c r="L738" s="19"/>
    </row>
    <row r="739" spans="1:12" s="4" customFormat="1">
      <c r="A739" s="37" t="s">
        <v>859</v>
      </c>
      <c r="B739" s="37"/>
      <c r="C739" s="37" t="s">
        <v>855</v>
      </c>
      <c r="D739" s="37"/>
      <c r="E739" s="37"/>
      <c r="F739" s="39">
        <v>0</v>
      </c>
      <c r="G739" s="39">
        <v>0</v>
      </c>
      <c r="H739" s="39">
        <v>63025.25</v>
      </c>
      <c r="I739" s="39">
        <v>63025</v>
      </c>
      <c r="J739" s="39">
        <v>64600.89</v>
      </c>
      <c r="K739" s="150"/>
    </row>
    <row r="740" spans="1:12" s="3" customFormat="1" ht="15.75" thickBot="1">
      <c r="A740" s="9"/>
      <c r="B740" s="9"/>
      <c r="C740" s="9" t="s">
        <v>955</v>
      </c>
      <c r="D740" s="9"/>
      <c r="E740" s="9"/>
      <c r="F740" s="35">
        <f>SUM(F739)</f>
        <v>0</v>
      </c>
      <c r="G740" s="35">
        <f t="shared" ref="G740:I740" si="196">SUM(G739)</f>
        <v>0</v>
      </c>
      <c r="H740" s="35">
        <f t="shared" si="196"/>
        <v>63025.25</v>
      </c>
      <c r="I740" s="35">
        <f t="shared" si="196"/>
        <v>63025</v>
      </c>
      <c r="J740" s="35">
        <f>SUM(J739)</f>
        <v>64600.89</v>
      </c>
      <c r="K740" s="149"/>
    </row>
    <row r="741" spans="1:12" ht="15.75" thickTop="1">
      <c r="A741" s="19"/>
      <c r="B741" s="19"/>
      <c r="C741" s="19"/>
      <c r="D741" s="19"/>
      <c r="E741" s="19"/>
      <c r="F741" s="20"/>
      <c r="G741" s="20"/>
      <c r="H741" s="20"/>
      <c r="I741" s="20"/>
      <c r="J741" s="20"/>
      <c r="K741" s="151"/>
      <c r="L741"/>
    </row>
    <row r="742" spans="1:12">
      <c r="A742" s="19"/>
      <c r="B742" s="19"/>
      <c r="C742" s="19" t="s">
        <v>11</v>
      </c>
      <c r="D742" s="19"/>
      <c r="E742" s="19"/>
      <c r="F742" s="20"/>
      <c r="G742" s="20"/>
      <c r="H742" s="20"/>
      <c r="I742" s="20"/>
      <c r="J742" s="20"/>
      <c r="K742" s="151"/>
      <c r="L742"/>
    </row>
    <row r="743" spans="1:12" s="4" customFormat="1">
      <c r="A743" s="37" t="s">
        <v>860</v>
      </c>
      <c r="B743" s="37"/>
      <c r="C743" s="37" t="s">
        <v>11</v>
      </c>
      <c r="D743" s="37"/>
      <c r="E743" s="37"/>
      <c r="F743" s="39">
        <v>0</v>
      </c>
      <c r="G743" s="39">
        <v>0</v>
      </c>
      <c r="H743" s="39">
        <v>0</v>
      </c>
      <c r="I743" s="39">
        <v>0</v>
      </c>
      <c r="J743" s="39">
        <v>0</v>
      </c>
      <c r="K743" s="150" t="s">
        <v>6</v>
      </c>
    </row>
    <row r="744" spans="1:12" s="3" customFormat="1" ht="15.75" thickBot="1">
      <c r="A744" s="9" t="s">
        <v>6</v>
      </c>
      <c r="B744" s="9"/>
      <c r="C744" s="9" t="s">
        <v>995</v>
      </c>
      <c r="D744" s="9"/>
      <c r="E744" s="9"/>
      <c r="F744" s="35">
        <f>SUM(F743)</f>
        <v>0</v>
      </c>
      <c r="G744" s="35">
        <f>SUM(G743)</f>
        <v>0</v>
      </c>
      <c r="H744" s="35">
        <f>SUM(H743)</f>
        <v>0</v>
      </c>
      <c r="I744" s="35">
        <f>SUM(I743)</f>
        <v>0</v>
      </c>
      <c r="J744" s="35">
        <f>SUM(J743)</f>
        <v>0</v>
      </c>
      <c r="K744" s="149"/>
    </row>
    <row r="745" spans="1:12" ht="15.75" thickTop="1">
      <c r="A745" s="19"/>
      <c r="B745" s="19"/>
      <c r="C745" s="19"/>
      <c r="D745" s="19"/>
      <c r="E745" s="19"/>
      <c r="F745" s="11"/>
      <c r="G745" s="11"/>
      <c r="H745" s="11"/>
      <c r="I745" s="11"/>
      <c r="J745" s="11"/>
      <c r="K745" s="151"/>
      <c r="L745"/>
    </row>
    <row r="746" spans="1:12">
      <c r="A746" s="19"/>
      <c r="B746" s="19"/>
      <c r="C746" s="19" t="s">
        <v>858</v>
      </c>
      <c r="D746" s="19"/>
      <c r="E746" s="19"/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4"/>
      <c r="L746"/>
    </row>
    <row r="747" spans="1:12">
      <c r="A747" s="37"/>
      <c r="B747" s="37"/>
      <c r="C747" s="37" t="s">
        <v>1149</v>
      </c>
      <c r="D747" s="37"/>
      <c r="E747" s="37"/>
      <c r="F747" s="39">
        <v>0</v>
      </c>
      <c r="G747" s="39">
        <v>0</v>
      </c>
      <c r="H747" s="39">
        <v>456224.89</v>
      </c>
      <c r="I747" s="39">
        <v>0</v>
      </c>
      <c r="J747" s="39">
        <v>0</v>
      </c>
      <c r="K747" s="154"/>
      <c r="L747"/>
    </row>
    <row r="748" spans="1:12" s="3" customFormat="1" ht="15.75" thickBot="1">
      <c r="A748" s="9" t="s">
        <v>6</v>
      </c>
      <c r="B748" s="9"/>
      <c r="C748" s="9" t="s">
        <v>966</v>
      </c>
      <c r="D748" s="9"/>
      <c r="E748" s="9"/>
      <c r="F748" s="35">
        <f>SUM(F746)</f>
        <v>0</v>
      </c>
      <c r="G748" s="35">
        <f t="shared" ref="G748:I748" si="197">SUM(G746)</f>
        <v>0</v>
      </c>
      <c r="H748" s="35">
        <f t="shared" si="197"/>
        <v>0</v>
      </c>
      <c r="I748" s="35">
        <f t="shared" si="197"/>
        <v>0</v>
      </c>
      <c r="J748" s="35">
        <f>SUM(J746)</f>
        <v>0</v>
      </c>
      <c r="K748" s="109"/>
    </row>
    <row r="749" spans="1:12" ht="15.75" thickTop="1">
      <c r="A749" s="19"/>
      <c r="B749" s="19"/>
      <c r="C749" s="19"/>
      <c r="D749" s="19"/>
      <c r="E749" s="19"/>
      <c r="F749" s="11"/>
      <c r="G749" s="11"/>
      <c r="H749" s="11"/>
      <c r="I749" s="11"/>
      <c r="J749" s="11"/>
      <c r="K749" s="114"/>
      <c r="L749"/>
    </row>
    <row r="750" spans="1:12" ht="15.75" thickBot="1">
      <c r="A750" s="19"/>
      <c r="B750" s="19"/>
      <c r="C750" s="9" t="s">
        <v>996</v>
      </c>
      <c r="D750" s="19"/>
      <c r="E750" s="19"/>
      <c r="F750" s="34">
        <f>F740+F744+F748</f>
        <v>0</v>
      </c>
      <c r="G750" s="34">
        <f>G740+G744+G748</f>
        <v>0</v>
      </c>
      <c r="H750" s="34">
        <f>H740+H744+H748</f>
        <v>63025.25</v>
      </c>
      <c r="I750" s="34">
        <f>I740+I744+I748</f>
        <v>63025</v>
      </c>
      <c r="J750" s="34">
        <f>J740+J744+J748</f>
        <v>64600.89</v>
      </c>
      <c r="K750" s="151"/>
      <c r="L750"/>
    </row>
    <row r="751" spans="1:12" ht="15.75" thickTop="1"/>
    <row r="753" spans="1:11" s="3" customFormat="1" ht="15.75" thickBot="1">
      <c r="A753" s="251" t="s">
        <v>998</v>
      </c>
      <c r="B753" s="251"/>
      <c r="C753" s="251"/>
      <c r="D753" s="9"/>
      <c r="E753" s="9"/>
      <c r="F753" s="34">
        <f>F148+F171+F179+F248+F267+F321+F371+F410+F468+F520+F555+F603+F640+F663+F692+F734+F750</f>
        <v>2392086.5</v>
      </c>
      <c r="G753" s="34">
        <f>G148+G171+G179+G248+G267+G321+G371+G410+G468+G520+G555+G603+G640+G663+G692+G734+G750</f>
        <v>0</v>
      </c>
      <c r="H753" s="34">
        <f>H148+H171+H179+H248+H267+H321+H371+H410+H468+H520+H555+H603+H640+H663+H692+H734+H750</f>
        <v>2443628.4440000001</v>
      </c>
      <c r="I753" s="34">
        <f>I148+I171+I179+I248+I267+I321+I371+I410+I468+I520+I555+I603+I640+I663+I692+I734+I750</f>
        <v>2580910.6605572728</v>
      </c>
      <c r="J753" s="34">
        <f>J148+J171+J179+J248+J267+J321+J371+J410+J468+J520+J555+J603+J640+J663+J692+J734+J750</f>
        <v>2631724.9550000005</v>
      </c>
      <c r="K753" s="109"/>
    </row>
    <row r="754" spans="1:11" ht="15.75" thickTop="1"/>
  </sheetData>
  <mergeCells count="33">
    <mergeCell ref="A130:C130"/>
    <mergeCell ref="A753:C753"/>
    <mergeCell ref="A737:K737"/>
    <mergeCell ref="A174:K174"/>
    <mergeCell ref="A182:K182"/>
    <mergeCell ref="A251:K251"/>
    <mergeCell ref="A270:K270"/>
    <mergeCell ref="A324:K324"/>
    <mergeCell ref="A606:K606"/>
    <mergeCell ref="A643:K643"/>
    <mergeCell ref="A666:K666"/>
    <mergeCell ref="A695:K695"/>
    <mergeCell ref="A374:K374"/>
    <mergeCell ref="A558:K558"/>
    <mergeCell ref="A413:K413"/>
    <mergeCell ref="A523:K523"/>
    <mergeCell ref="A471:K471"/>
    <mergeCell ref="A1:K1"/>
    <mergeCell ref="A133:K133"/>
    <mergeCell ref="A151:K151"/>
    <mergeCell ref="A6:K6"/>
    <mergeCell ref="A131:K131"/>
    <mergeCell ref="A8:K8"/>
    <mergeCell ref="A25:K25"/>
    <mergeCell ref="A30:K30"/>
    <mergeCell ref="A45:K45"/>
    <mergeCell ref="A75:K75"/>
    <mergeCell ref="A81:K81"/>
    <mergeCell ref="A89:K89"/>
    <mergeCell ref="A100:K100"/>
    <mergeCell ref="A114:K114"/>
    <mergeCell ref="A123:K123"/>
    <mergeCell ref="A107:K107"/>
  </mergeCells>
  <printOptions horizontalCentered="1"/>
  <pageMargins left="0" right="0" top="0.75" bottom="0.75" header="0.3" footer="0.3"/>
  <pageSetup scale="66" fitToHeight="0" orientation="landscape" r:id="rId1"/>
  <headerFooter>
    <oddFooter>&amp;L&amp;D&amp;CWorksheet
Page &amp;P&amp;R&amp;T</oddFooter>
  </headerFooter>
  <rowBreaks count="10" manualBreakCount="10">
    <brk id="98" max="16383" man="1"/>
    <brk id="130" max="16383" man="1"/>
    <brk id="172" max="16383" man="1"/>
    <brk id="260" max="16383" man="1"/>
    <brk id="348" max="16383" man="1"/>
    <brk id="389" max="16383" man="1"/>
    <brk id="521" max="16383" man="1"/>
    <brk id="609" max="16383" man="1"/>
    <brk id="653" max="16383" man="1"/>
    <brk id="7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9"/>
  <sheetViews>
    <sheetView workbookViewId="0">
      <selection activeCell="C24" sqref="C24"/>
    </sheetView>
  </sheetViews>
  <sheetFormatPr defaultRowHeight="15"/>
  <cols>
    <col min="1" max="1" width="35.140625" style="188" customWidth="1"/>
    <col min="2" max="3" width="14.28515625" style="194" customWidth="1"/>
    <col min="4" max="4" width="17.42578125" style="194" bestFit="1" customWidth="1"/>
    <col min="5" max="5" width="14.28515625" style="194" customWidth="1"/>
    <col min="6" max="6" width="13.28515625" style="194" hidden="1" customWidth="1"/>
    <col min="7" max="7" width="14.28515625" style="194" customWidth="1"/>
    <col min="8" max="8" width="12.5703125" style="187" bestFit="1" customWidth="1"/>
    <col min="9" max="9" width="9.140625" style="187"/>
  </cols>
  <sheetData>
    <row r="1" spans="1:9">
      <c r="A1" s="252" t="s">
        <v>34</v>
      </c>
      <c r="B1" s="252"/>
      <c r="C1" s="252"/>
      <c r="D1" s="252"/>
      <c r="E1" s="252"/>
      <c r="F1" s="252"/>
      <c r="G1" s="252"/>
    </row>
    <row r="2" spans="1:9">
      <c r="A2" s="252" t="s">
        <v>779</v>
      </c>
      <c r="B2" s="252"/>
      <c r="C2" s="252"/>
      <c r="D2" s="252"/>
      <c r="E2" s="252"/>
      <c r="F2" s="252"/>
      <c r="G2" s="252"/>
    </row>
    <row r="3" spans="1:9" s="32" customFormat="1" ht="12.75">
      <c r="A3" s="178" t="s">
        <v>6</v>
      </c>
      <c r="B3" s="179" t="s">
        <v>6</v>
      </c>
      <c r="C3" s="179" t="s">
        <v>6</v>
      </c>
      <c r="D3" s="179"/>
      <c r="E3" s="179" t="s">
        <v>6</v>
      </c>
      <c r="F3" s="179" t="s">
        <v>6</v>
      </c>
      <c r="G3" s="180"/>
      <c r="H3" s="187"/>
      <c r="I3" s="187"/>
    </row>
    <row r="4" spans="1:9">
      <c r="A4" s="178"/>
      <c r="B4" s="181">
        <v>2018</v>
      </c>
      <c r="C4" s="181">
        <v>2019</v>
      </c>
      <c r="D4" s="181">
        <v>2019</v>
      </c>
      <c r="E4" s="182">
        <v>2019</v>
      </c>
      <c r="F4" s="182">
        <v>2019</v>
      </c>
      <c r="G4" s="183" t="s">
        <v>839</v>
      </c>
    </row>
    <row r="5" spans="1:9">
      <c r="A5" s="184" t="s">
        <v>864</v>
      </c>
      <c r="B5" s="185" t="s">
        <v>823</v>
      </c>
      <c r="C5" s="185" t="s">
        <v>862</v>
      </c>
      <c r="D5" s="185" t="s">
        <v>863</v>
      </c>
      <c r="E5" s="185" t="s">
        <v>1147</v>
      </c>
      <c r="F5" s="185" t="s">
        <v>909</v>
      </c>
      <c r="G5" s="186" t="s">
        <v>826</v>
      </c>
    </row>
    <row r="6" spans="1:9">
      <c r="A6" s="178" t="s">
        <v>865</v>
      </c>
      <c r="B6" s="179"/>
      <c r="C6" s="179"/>
      <c r="D6" s="179"/>
      <c r="E6" s="179"/>
      <c r="F6" s="179"/>
      <c r="G6" s="180"/>
    </row>
    <row r="7" spans="1:9">
      <c r="A7" s="178"/>
      <c r="B7" s="179"/>
      <c r="C7" s="179"/>
      <c r="D7" s="179"/>
      <c r="E7" s="179"/>
      <c r="F7" s="179"/>
      <c r="G7" s="180"/>
    </row>
    <row r="8" spans="1:9">
      <c r="A8" s="196" t="s">
        <v>780</v>
      </c>
      <c r="B8" s="189">
        <v>6816.25</v>
      </c>
      <c r="C8" s="189">
        <v>0</v>
      </c>
      <c r="D8" s="189">
        <v>0</v>
      </c>
      <c r="E8" s="189">
        <v>52829</v>
      </c>
      <c r="F8" s="189">
        <v>52829</v>
      </c>
      <c r="G8" s="189">
        <v>0</v>
      </c>
    </row>
    <row r="9" spans="1:9">
      <c r="A9" s="196" t="s">
        <v>781</v>
      </c>
      <c r="B9" s="189">
        <v>0</v>
      </c>
      <c r="C9" s="189">
        <v>0</v>
      </c>
      <c r="D9" s="189">
        <v>0</v>
      </c>
      <c r="E9" s="189">
        <v>0</v>
      </c>
      <c r="F9" s="189">
        <v>0</v>
      </c>
      <c r="G9" s="194">
        <v>0</v>
      </c>
    </row>
    <row r="10" spans="1:9">
      <c r="A10" s="196" t="s">
        <v>782</v>
      </c>
      <c r="B10" s="189">
        <v>0</v>
      </c>
      <c r="C10" s="189">
        <v>611907</v>
      </c>
      <c r="D10" s="189">
        <v>0</v>
      </c>
      <c r="E10" s="189">
        <v>519147.43</v>
      </c>
      <c r="F10" s="189">
        <f>519147.43+50000</f>
        <v>569147.42999999993</v>
      </c>
      <c r="G10" s="189">
        <v>0</v>
      </c>
    </row>
    <row r="11" spans="1:9">
      <c r="A11" s="196" t="s">
        <v>1059</v>
      </c>
      <c r="B11" s="189">
        <v>0</v>
      </c>
      <c r="C11" s="189">
        <v>0</v>
      </c>
      <c r="D11" s="189">
        <v>0</v>
      </c>
      <c r="E11" s="189">
        <v>0</v>
      </c>
      <c r="F11" s="189">
        <v>0</v>
      </c>
      <c r="G11" s="189">
        <v>0</v>
      </c>
    </row>
    <row r="12" spans="1:9" ht="15.75" thickBot="1">
      <c r="A12" s="190" t="s">
        <v>1058</v>
      </c>
      <c r="B12" s="191">
        <f>SUM(B8:B11)</f>
        <v>6816.25</v>
      </c>
      <c r="C12" s="191">
        <f>SUM(C8:C11)</f>
        <v>611907</v>
      </c>
      <c r="D12" s="191">
        <f>SUM(D8:D11)</f>
        <v>0</v>
      </c>
      <c r="E12" s="191">
        <f>SUM(E8:E11)</f>
        <v>571976.42999999993</v>
      </c>
      <c r="F12" s="191">
        <f t="shared" ref="F12:G12" si="0">SUM(F8:F11)</f>
        <v>621976.42999999993</v>
      </c>
      <c r="G12" s="191">
        <f t="shared" si="0"/>
        <v>0</v>
      </c>
    </row>
    <row r="13" spans="1:9" ht="15.75" thickTop="1">
      <c r="B13" s="189"/>
      <c r="C13" s="189"/>
      <c r="D13" s="189"/>
      <c r="E13" s="189"/>
      <c r="F13" s="189"/>
      <c r="G13" s="187"/>
    </row>
    <row r="14" spans="1:9" ht="15.75" thickBot="1">
      <c r="A14" s="190" t="s">
        <v>1</v>
      </c>
      <c r="B14" s="191">
        <f t="shared" ref="B14:G14" si="1">B12</f>
        <v>6816.25</v>
      </c>
      <c r="C14" s="191">
        <f t="shared" si="1"/>
        <v>611907</v>
      </c>
      <c r="D14" s="191">
        <f t="shared" si="1"/>
        <v>0</v>
      </c>
      <c r="E14" s="191">
        <f t="shared" si="1"/>
        <v>571976.42999999993</v>
      </c>
      <c r="F14" s="191">
        <f t="shared" si="1"/>
        <v>621976.42999999993</v>
      </c>
      <c r="G14" s="191">
        <f t="shared" si="1"/>
        <v>0</v>
      </c>
    </row>
    <row r="15" spans="1:9" ht="15.75" thickTop="1">
      <c r="B15" s="193" t="s">
        <v>6</v>
      </c>
      <c r="C15" s="193"/>
      <c r="D15" s="193" t="s">
        <v>6</v>
      </c>
      <c r="E15" s="193" t="s">
        <v>6</v>
      </c>
      <c r="F15" s="193" t="s">
        <v>6</v>
      </c>
      <c r="G15" s="187"/>
    </row>
    <row r="16" spans="1:9">
      <c r="B16" s="193"/>
      <c r="C16" s="193"/>
      <c r="D16" s="193"/>
      <c r="E16" s="193"/>
      <c r="F16" s="193"/>
      <c r="G16" s="187"/>
    </row>
    <row r="17" spans="1:7">
      <c r="A17" s="190" t="s">
        <v>898</v>
      </c>
      <c r="B17" s="193"/>
      <c r="C17" s="193"/>
      <c r="D17" s="193"/>
      <c r="E17" s="193"/>
      <c r="F17" s="193"/>
      <c r="G17" s="187"/>
    </row>
    <row r="18" spans="1:7">
      <c r="A18" s="190"/>
      <c r="B18" s="193"/>
      <c r="C18" s="193"/>
      <c r="D18" s="193"/>
      <c r="E18" s="193"/>
      <c r="F18" s="193"/>
      <c r="G18" s="187"/>
    </row>
    <row r="19" spans="1:7">
      <c r="A19" s="196" t="s">
        <v>783</v>
      </c>
      <c r="B19" s="189">
        <v>0</v>
      </c>
      <c r="C19" s="189">
        <v>911907</v>
      </c>
      <c r="D19" s="189">
        <v>0</v>
      </c>
      <c r="E19" s="189">
        <v>1021266.19</v>
      </c>
      <c r="F19" s="198">
        <f>E19+84600</f>
        <v>1105866.19</v>
      </c>
      <c r="G19" s="189">
        <v>0</v>
      </c>
    </row>
    <row r="20" spans="1:7">
      <c r="A20" s="197" t="s">
        <v>784</v>
      </c>
      <c r="B20" s="189">
        <v>0</v>
      </c>
      <c r="C20" s="189">
        <v>20000</v>
      </c>
      <c r="D20" s="189">
        <v>0</v>
      </c>
      <c r="E20" s="189">
        <v>534.97</v>
      </c>
      <c r="F20" s="189">
        <v>535</v>
      </c>
      <c r="G20" s="189">
        <v>0</v>
      </c>
    </row>
    <row r="21" spans="1:7" ht="15.75" thickBot="1">
      <c r="A21" s="190" t="s">
        <v>2</v>
      </c>
      <c r="B21" s="191">
        <f t="shared" ref="B21:F21" si="2">SUM(B19:B20)</f>
        <v>0</v>
      </c>
      <c r="C21" s="191">
        <f t="shared" si="2"/>
        <v>931907</v>
      </c>
      <c r="D21" s="191">
        <f t="shared" si="2"/>
        <v>0</v>
      </c>
      <c r="E21" s="191">
        <f t="shared" si="2"/>
        <v>1021801.1599999999</v>
      </c>
      <c r="F21" s="191">
        <f t="shared" si="2"/>
        <v>1106401.19</v>
      </c>
      <c r="G21" s="192">
        <f>SUM(G19:G20)</f>
        <v>0</v>
      </c>
    </row>
    <row r="22" spans="1:7" ht="15.75" thickTop="1">
      <c r="B22" s="189"/>
      <c r="C22" s="189"/>
      <c r="D22" s="189"/>
      <c r="E22" s="189"/>
      <c r="F22" s="189"/>
      <c r="G22" s="187"/>
    </row>
    <row r="23" spans="1:7">
      <c r="G23" s="187"/>
    </row>
    <row r="24" spans="1:7" ht="39.75" thickBot="1">
      <c r="A24" s="90" t="s">
        <v>867</v>
      </c>
      <c r="B24" s="199">
        <f>B14-B21</f>
        <v>6816.25</v>
      </c>
      <c r="C24" s="199">
        <f t="shared" ref="C24:G24" si="3">C14-C21</f>
        <v>-320000</v>
      </c>
      <c r="D24" s="199">
        <f t="shared" si="3"/>
        <v>0</v>
      </c>
      <c r="E24" s="199">
        <f t="shared" si="3"/>
        <v>-449824.73</v>
      </c>
      <c r="F24" s="199">
        <f t="shared" si="3"/>
        <v>-484424.76</v>
      </c>
      <c r="G24" s="199">
        <f t="shared" si="3"/>
        <v>0</v>
      </c>
    </row>
    <row r="25" spans="1:7" ht="15.75" thickTop="1">
      <c r="A25" s="187"/>
      <c r="B25" s="195"/>
      <c r="C25" s="195"/>
      <c r="D25" s="195"/>
      <c r="E25" s="195"/>
      <c r="F25" s="195"/>
      <c r="G25" s="187"/>
    </row>
    <row r="26" spans="1:7">
      <c r="G26" s="187"/>
    </row>
    <row r="27" spans="1:7">
      <c r="A27" s="188" t="s">
        <v>6</v>
      </c>
      <c r="G27" s="187"/>
    </row>
    <row r="28" spans="1:7">
      <c r="G28" s="187"/>
    </row>
    <row r="29" spans="1:7">
      <c r="G29" s="187"/>
    </row>
  </sheetData>
  <mergeCells count="2">
    <mergeCell ref="A1:G1"/>
    <mergeCell ref="A2:G2"/>
  </mergeCells>
  <pageMargins left="0.7" right="0.7" top="0.75" bottom="0.75" header="0.3" footer="0.3"/>
  <pageSetup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1"/>
  <sheetViews>
    <sheetView topLeftCell="A37" workbookViewId="0">
      <selection activeCell="G56" sqref="G56"/>
    </sheetView>
  </sheetViews>
  <sheetFormatPr defaultRowHeight="15"/>
  <cols>
    <col min="1" max="1" width="40.7109375" style="33" customWidth="1"/>
    <col min="2" max="5" width="15.7109375" style="114" customWidth="1"/>
    <col min="6" max="6" width="15.7109375" style="114" hidden="1" customWidth="1"/>
    <col min="7" max="7" width="15.7109375" style="114" customWidth="1"/>
  </cols>
  <sheetData>
    <row r="1" spans="1:7">
      <c r="A1" s="253" t="s">
        <v>34</v>
      </c>
      <c r="B1" s="253"/>
      <c r="C1" s="253"/>
      <c r="D1" s="253"/>
      <c r="E1" s="253"/>
      <c r="F1" s="253"/>
      <c r="G1" s="253"/>
    </row>
    <row r="2" spans="1:7">
      <c r="A2" s="253" t="s">
        <v>527</v>
      </c>
      <c r="B2" s="253"/>
      <c r="C2" s="253"/>
      <c r="D2" s="253"/>
      <c r="E2" s="253"/>
      <c r="F2" s="253"/>
      <c r="G2" s="253"/>
    </row>
    <row r="3" spans="1:7" ht="7.5" customHeight="1">
      <c r="A3" s="108" t="s">
        <v>6</v>
      </c>
      <c r="B3" s="109" t="s">
        <v>6</v>
      </c>
      <c r="C3" s="109" t="s">
        <v>6</v>
      </c>
      <c r="D3" s="109"/>
      <c r="E3" s="109" t="s">
        <v>6</v>
      </c>
      <c r="F3" s="109" t="s">
        <v>6</v>
      </c>
      <c r="G3" s="109" t="s">
        <v>6</v>
      </c>
    </row>
    <row r="4" spans="1:7">
      <c r="A4" s="61"/>
      <c r="B4" s="63">
        <v>2018</v>
      </c>
      <c r="C4" s="63">
        <v>2019</v>
      </c>
      <c r="D4" s="63">
        <v>2019</v>
      </c>
      <c r="E4" s="51">
        <v>2019</v>
      </c>
      <c r="F4" s="51">
        <v>2019</v>
      </c>
      <c r="G4" s="64" t="s">
        <v>839</v>
      </c>
    </row>
    <row r="5" spans="1:7">
      <c r="A5" s="102" t="s">
        <v>864</v>
      </c>
      <c r="B5" s="66" t="s">
        <v>823</v>
      </c>
      <c r="C5" s="66" t="s">
        <v>862</v>
      </c>
      <c r="D5" s="66" t="s">
        <v>863</v>
      </c>
      <c r="E5" s="66" t="s">
        <v>1147</v>
      </c>
      <c r="F5" s="66" t="s">
        <v>909</v>
      </c>
      <c r="G5" s="67" t="s">
        <v>826</v>
      </c>
    </row>
    <row r="6" spans="1:7">
      <c r="A6" s="61" t="s">
        <v>865</v>
      </c>
      <c r="B6" s="109"/>
      <c r="C6" s="109"/>
      <c r="D6" s="109"/>
      <c r="E6" s="109"/>
      <c r="F6" s="109"/>
      <c r="G6" s="109"/>
    </row>
    <row r="7" spans="1:7">
      <c r="A7" s="93" t="s">
        <v>528</v>
      </c>
      <c r="B7" s="110">
        <v>1153677.28</v>
      </c>
      <c r="C7" s="110">
        <f>'Worksheet - Water Fund (020)'!E12</f>
        <v>1102000</v>
      </c>
      <c r="D7" s="110">
        <f>'Worksheet - Water Fund (020)'!F12</f>
        <v>0</v>
      </c>
      <c r="E7" s="110">
        <f>'Worksheet - Water Fund (020)'!G12</f>
        <v>1102045.55</v>
      </c>
      <c r="F7" s="110">
        <f>'Worksheet - Water Fund (020)'!H12</f>
        <v>1202231.509090909</v>
      </c>
      <c r="G7" s="110">
        <f>'Worksheet - Water Fund (020)'!I12</f>
        <v>1100000</v>
      </c>
    </row>
    <row r="8" spans="1:7">
      <c r="A8" s="93" t="s">
        <v>529</v>
      </c>
      <c r="B8" s="110">
        <v>16926.29</v>
      </c>
      <c r="C8" s="110">
        <f>'Worksheet - Water Fund (020)'!E17</f>
        <v>15600</v>
      </c>
      <c r="D8" s="110">
        <f>'Worksheet - Water Fund (020)'!F17</f>
        <v>0</v>
      </c>
      <c r="E8" s="110">
        <f>'Worksheet - Water Fund (020)'!G17</f>
        <v>16421.89</v>
      </c>
      <c r="F8" s="110">
        <f>'Worksheet - Water Fund (020)'!H17</f>
        <v>16722</v>
      </c>
      <c r="G8" s="110">
        <f>'Worksheet - Water Fund (020)'!I17</f>
        <v>17100</v>
      </c>
    </row>
    <row r="9" spans="1:7">
      <c r="A9" s="93" t="s">
        <v>530</v>
      </c>
      <c r="B9" s="110">
        <v>40121.519999999997</v>
      </c>
      <c r="C9" s="110">
        <f>'Worksheet - Water Fund (020)'!E25</f>
        <v>27000</v>
      </c>
      <c r="D9" s="110">
        <f>'Worksheet - Water Fund (020)'!F25</f>
        <v>0</v>
      </c>
      <c r="E9" s="110">
        <f>'Worksheet - Water Fund (020)'!G25</f>
        <v>40850.15</v>
      </c>
      <c r="F9" s="110">
        <f>'Worksheet - Water Fund (020)'!H25</f>
        <v>44563.799999999996</v>
      </c>
      <c r="G9" s="110">
        <f>'Worksheet - Water Fund (020)'!I25</f>
        <v>35010</v>
      </c>
    </row>
    <row r="10" spans="1:7">
      <c r="A10" s="93" t="s">
        <v>531</v>
      </c>
      <c r="B10" s="110">
        <v>8948.35</v>
      </c>
      <c r="C10" s="110">
        <f>'Worksheet - Water Fund (020)'!E29</f>
        <v>12000</v>
      </c>
      <c r="D10" s="110">
        <f>'Worksheet - Water Fund (020)'!F29</f>
        <v>0</v>
      </c>
      <c r="E10" s="110">
        <f>'Worksheet - Water Fund (020)'!G29</f>
        <v>10507.93</v>
      </c>
      <c r="F10" s="110">
        <f>'Worksheet - Water Fund (020)'!H29</f>
        <v>11463.196363636363</v>
      </c>
      <c r="G10" s="110">
        <f>'Worksheet - Water Fund (020)'!I29</f>
        <v>12000</v>
      </c>
    </row>
    <row r="11" spans="1:7" ht="15.75" thickBot="1">
      <c r="A11" s="108" t="s">
        <v>1</v>
      </c>
      <c r="B11" s="111">
        <f>SUM(B7:B10)</f>
        <v>1219673.4400000002</v>
      </c>
      <c r="C11" s="111">
        <f t="shared" ref="C11:G11" si="0">SUM(C7:C10)</f>
        <v>1156600</v>
      </c>
      <c r="D11" s="111">
        <f t="shared" si="0"/>
        <v>0</v>
      </c>
      <c r="E11" s="111">
        <f t="shared" si="0"/>
        <v>1169825.5199999998</v>
      </c>
      <c r="F11" s="111">
        <f t="shared" si="0"/>
        <v>1274980.5054545454</v>
      </c>
      <c r="G11" s="111">
        <f t="shared" si="0"/>
        <v>1164110</v>
      </c>
    </row>
    <row r="12" spans="1:7" s="32" customFormat="1" ht="13.5" thickTop="1">
      <c r="A12" s="33"/>
      <c r="B12" s="110"/>
      <c r="C12" s="110"/>
      <c r="D12" s="110"/>
      <c r="E12" s="110"/>
      <c r="F12" s="110"/>
      <c r="G12" s="110"/>
    </row>
    <row r="13" spans="1:7" s="32" customFormat="1" ht="12.75">
      <c r="A13" s="33"/>
      <c r="B13" s="112" t="s">
        <v>6</v>
      </c>
      <c r="C13" s="112" t="s">
        <v>6</v>
      </c>
      <c r="D13" s="112"/>
      <c r="E13" s="112" t="s">
        <v>6</v>
      </c>
      <c r="F13" s="112" t="s">
        <v>6</v>
      </c>
      <c r="G13" s="112" t="s">
        <v>6</v>
      </c>
    </row>
    <row r="14" spans="1:7">
      <c r="A14" s="108" t="s">
        <v>898</v>
      </c>
      <c r="B14" s="112"/>
      <c r="C14" s="112"/>
      <c r="D14" s="112"/>
      <c r="E14" s="112"/>
      <c r="F14" s="112"/>
      <c r="G14" s="112"/>
    </row>
    <row r="15" spans="1:7">
      <c r="A15" s="93" t="s">
        <v>22</v>
      </c>
      <c r="B15" s="113">
        <f>70187.22+42658.56+1432.95+8530.28+32957.8+2894.25+38716.96</f>
        <v>197378.02</v>
      </c>
      <c r="C15" s="113">
        <f>'Worksheet - Water Fund (020)'!E49</f>
        <v>230918</v>
      </c>
      <c r="D15" s="113">
        <f>'Worksheet - Water Fund (020)'!F49</f>
        <v>0</v>
      </c>
      <c r="E15" s="113">
        <f>'Worksheet - Water Fund (020)'!G49</f>
        <v>218584.95</v>
      </c>
      <c r="F15" s="113">
        <f>'Worksheet - Water Fund (020)'!H49</f>
        <v>223706.50363636363</v>
      </c>
      <c r="G15" s="113">
        <f>'Worksheet - Water Fund (020)'!I49</f>
        <v>245466.75</v>
      </c>
    </row>
    <row r="16" spans="1:7">
      <c r="A16" s="93" t="s">
        <v>199</v>
      </c>
      <c r="B16" s="113">
        <v>220</v>
      </c>
      <c r="C16" s="113">
        <f>'Worksheet - Water Fund (020)'!E54</f>
        <v>3500</v>
      </c>
      <c r="D16" s="113">
        <f>'Worksheet - Water Fund (020)'!F54</f>
        <v>0</v>
      </c>
      <c r="E16" s="113">
        <f>'Worksheet - Water Fund (020)'!G54</f>
        <v>2564.36</v>
      </c>
      <c r="F16" s="113">
        <f>'Worksheet - Water Fund (020)'!H54</f>
        <v>2797.4836363636368</v>
      </c>
      <c r="G16" s="113">
        <f>'Worksheet - Water Fund (020)'!I54</f>
        <v>2600</v>
      </c>
    </row>
    <row r="17" spans="1:7">
      <c r="A17" s="93" t="s">
        <v>202</v>
      </c>
      <c r="B17" s="113">
        <f>4715.18+1385.91+13400.84+95340.57+3355+6429.94+20+1271.5+4220.24+30352.34+988.97+2349.99+36439.76+31628</f>
        <v>231898.24000000002</v>
      </c>
      <c r="C17" s="113">
        <f>'Worksheet - Water Fund (020)'!E72</f>
        <v>283032</v>
      </c>
      <c r="D17" s="113">
        <f>'Worksheet - Water Fund (020)'!F72</f>
        <v>0</v>
      </c>
      <c r="E17" s="113">
        <f>'Worksheet - Water Fund (020)'!G72</f>
        <v>239294.88</v>
      </c>
      <c r="F17" s="113">
        <f>'Worksheet - Water Fund (020)'!H72</f>
        <v>265793.06</v>
      </c>
      <c r="G17" s="113">
        <f>'Worksheet - Water Fund (020)'!I72</f>
        <v>277800</v>
      </c>
    </row>
    <row r="18" spans="1:7">
      <c r="A18" s="93" t="s">
        <v>204</v>
      </c>
      <c r="B18" s="113">
        <f>1422.24+30259.59+8028.65+760.24+0+7208.12+1038.12+91.78</f>
        <v>48808.740000000005</v>
      </c>
      <c r="C18" s="113">
        <f>'Worksheet - Water Fund (020)'!E83</f>
        <v>44200</v>
      </c>
      <c r="D18" s="113">
        <f>'Worksheet - Water Fund (020)'!F83</f>
        <v>0</v>
      </c>
      <c r="E18" s="113">
        <f>'Worksheet - Water Fund (020)'!G83</f>
        <v>41988.18</v>
      </c>
      <c r="F18" s="113">
        <f>'Worksheet - Water Fund (020)'!H83</f>
        <v>45705.061818181814</v>
      </c>
      <c r="G18" s="113">
        <f>'Worksheet - Water Fund (020)'!I83</f>
        <v>47200</v>
      </c>
    </row>
    <row r="19" spans="1:7">
      <c r="A19" s="93" t="s">
        <v>356</v>
      </c>
      <c r="B19" s="113">
        <v>0</v>
      </c>
      <c r="C19" s="113">
        <f>'Worksheet - Water Fund (020)'!E88</f>
        <v>3000</v>
      </c>
      <c r="D19" s="113">
        <f>'Worksheet - Water Fund (020)'!F88</f>
        <v>0</v>
      </c>
      <c r="E19" s="113">
        <f>'Worksheet - Water Fund (020)'!G88</f>
        <v>32.5</v>
      </c>
      <c r="F19" s="113">
        <f>'Worksheet - Water Fund (020)'!H88</f>
        <v>35.454545454545453</v>
      </c>
      <c r="G19" s="113">
        <f>'Worksheet - Water Fund (020)'!I88</f>
        <v>3000</v>
      </c>
    </row>
    <row r="20" spans="1:7">
      <c r="A20" s="93" t="s">
        <v>217</v>
      </c>
      <c r="B20" s="113">
        <f>0+963.16+7456.63+764.89+2496.37+7442.06+1439.77+67044.34+39.6-251.93</f>
        <v>87394.890000000014</v>
      </c>
      <c r="C20" s="113">
        <f>'Worksheet - Water Fund (020)'!E100</f>
        <v>145000</v>
      </c>
      <c r="D20" s="113">
        <f>'Worksheet - Water Fund (020)'!F100</f>
        <v>0</v>
      </c>
      <c r="E20" s="113">
        <f>'Worksheet - Water Fund (020)'!G100</f>
        <v>50163.26999999999</v>
      </c>
      <c r="F20" s="113">
        <f>'Worksheet - Water Fund (020)'!H100</f>
        <v>54723.567272727269</v>
      </c>
      <c r="G20" s="113">
        <f>'Worksheet - Water Fund (020)'!I100</f>
        <v>115350</v>
      </c>
    </row>
    <row r="21" spans="1:7">
      <c r="A21" s="93" t="s">
        <v>423</v>
      </c>
      <c r="B21" s="113">
        <f>6591.39+12999.87+1531.85</f>
        <v>21123.11</v>
      </c>
      <c r="C21" s="113">
        <f>'Worksheet - Water Fund (020)'!E106</f>
        <v>25000</v>
      </c>
      <c r="D21" s="113">
        <f>'Worksheet - Water Fund (020)'!F106</f>
        <v>0</v>
      </c>
      <c r="E21" s="113">
        <f>'Worksheet - Water Fund (020)'!G106</f>
        <v>26838.609999999997</v>
      </c>
      <c r="F21" s="113">
        <f>'Worksheet - Water Fund (020)'!H106</f>
        <v>29278.483636363635</v>
      </c>
      <c r="G21" s="113">
        <f>'Worksheet - Water Fund (020)'!I106</f>
        <v>31300</v>
      </c>
    </row>
    <row r="22" spans="1:7" s="4" customFormat="1">
      <c r="A22" s="93" t="s">
        <v>798</v>
      </c>
      <c r="B22" s="113">
        <v>404709.39</v>
      </c>
      <c r="C22" s="113">
        <v>0</v>
      </c>
      <c r="D22" s="113">
        <v>0</v>
      </c>
      <c r="E22" s="113">
        <v>302330.21999999997</v>
      </c>
      <c r="F22" s="113">
        <v>401000</v>
      </c>
      <c r="G22" s="113">
        <v>400000</v>
      </c>
    </row>
    <row r="23" spans="1:7">
      <c r="A23" s="93" t="s">
        <v>24</v>
      </c>
      <c r="B23" s="113">
        <f>4636.17+2258.45+18372.22+27606</f>
        <v>52872.84</v>
      </c>
      <c r="C23" s="113">
        <f>'Worksheet - Water Fund (020)'!E112</f>
        <v>15000</v>
      </c>
      <c r="D23" s="113">
        <f>'Worksheet - Water Fund (020)'!F112</f>
        <v>0</v>
      </c>
      <c r="E23" s="113">
        <f>'Worksheet - Water Fund (020)'!G112</f>
        <v>19725.849999999999</v>
      </c>
      <c r="F23" s="113">
        <f>'Worksheet - Water Fund (020)'!H112</f>
        <v>19725.629999999997</v>
      </c>
      <c r="G23" s="113">
        <f>'Worksheet - Water Fund (020)'!I112</f>
        <v>15000</v>
      </c>
    </row>
    <row r="24" spans="1:7">
      <c r="A24" s="95" t="s">
        <v>30</v>
      </c>
      <c r="B24" s="113">
        <f>92237.09+0+30871.32+1793.18+706.03+0+1151.7+201788</f>
        <v>328547.32</v>
      </c>
      <c r="C24" s="113">
        <f>'Worksheet - Water Fund (020)'!E124</f>
        <v>364348</v>
      </c>
      <c r="D24" s="113">
        <f>'Worksheet - Water Fund (020)'!F124</f>
        <v>0</v>
      </c>
      <c r="E24" s="113">
        <f>'Worksheet - Water Fund (020)'!G124</f>
        <v>285574.89999999997</v>
      </c>
      <c r="F24" s="113">
        <v>264600</v>
      </c>
      <c r="G24" s="113">
        <v>317000</v>
      </c>
    </row>
    <row r="25" spans="1:7" ht="15.75" thickBot="1">
      <c r="A25" s="108" t="s">
        <v>2</v>
      </c>
      <c r="B25" s="111">
        <f t="shared" ref="B25:G25" si="1">SUM(B15:B24)</f>
        <v>1372952.55</v>
      </c>
      <c r="C25" s="111">
        <f t="shared" si="1"/>
        <v>1113998</v>
      </c>
      <c r="D25" s="111">
        <f t="shared" si="1"/>
        <v>0</v>
      </c>
      <c r="E25" s="111">
        <f t="shared" si="1"/>
        <v>1187097.72</v>
      </c>
      <c r="F25" s="111">
        <f t="shared" si="1"/>
        <v>1307365.2445454546</v>
      </c>
      <c r="G25" s="111">
        <f t="shared" si="1"/>
        <v>1454716.75</v>
      </c>
    </row>
    <row r="26" spans="1:7" s="32" customFormat="1" ht="13.5" thickTop="1">
      <c r="A26" s="33"/>
      <c r="B26" s="110"/>
      <c r="C26" s="110"/>
      <c r="D26" s="110"/>
      <c r="E26" s="110"/>
      <c r="F26" s="110"/>
      <c r="G26" s="110"/>
    </row>
    <row r="27" spans="1:7" s="32" customFormat="1" ht="12.75">
      <c r="A27" s="33"/>
      <c r="B27" s="114"/>
      <c r="C27" s="114"/>
      <c r="D27" s="114"/>
      <c r="E27" s="114"/>
      <c r="F27" s="114"/>
      <c r="G27" s="114"/>
    </row>
    <row r="28" spans="1:7" ht="35.1" customHeight="1" thickBot="1">
      <c r="A28" s="90" t="s">
        <v>867</v>
      </c>
      <c r="B28" s="132">
        <f t="shared" ref="B28:G28" si="2">B11-B25</f>
        <v>-153279.10999999987</v>
      </c>
      <c r="C28" s="132">
        <f t="shared" si="2"/>
        <v>42602</v>
      </c>
      <c r="D28" s="132">
        <f t="shared" si="2"/>
        <v>0</v>
      </c>
      <c r="E28" s="132">
        <f t="shared" si="2"/>
        <v>-17272.200000000186</v>
      </c>
      <c r="F28" s="132">
        <f t="shared" si="2"/>
        <v>-32384.73909090925</v>
      </c>
      <c r="G28" s="132">
        <f t="shared" si="2"/>
        <v>-290606.75</v>
      </c>
    </row>
    <row r="29" spans="1:7" s="32" customFormat="1" ht="13.5" thickTop="1">
      <c r="A29" s="29"/>
      <c r="B29" s="115"/>
      <c r="C29" s="115"/>
      <c r="D29" s="115"/>
      <c r="E29" s="115"/>
      <c r="F29" s="115"/>
      <c r="G29" s="115"/>
    </row>
    <row r="30" spans="1:7">
      <c r="A30" s="18" t="s">
        <v>868</v>
      </c>
      <c r="B30" s="115"/>
      <c r="C30" s="115"/>
      <c r="D30" s="115"/>
      <c r="E30" s="115"/>
      <c r="F30" s="115"/>
      <c r="G30" s="115"/>
    </row>
    <row r="31" spans="1:7">
      <c r="A31" s="95" t="s">
        <v>3</v>
      </c>
      <c r="B31" s="110">
        <v>0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</row>
    <row r="32" spans="1:7">
      <c r="A32" s="95" t="s">
        <v>4</v>
      </c>
      <c r="B32" s="114">
        <v>0</v>
      </c>
      <c r="C32" s="114">
        <v>0</v>
      </c>
      <c r="D32" s="114">
        <v>0</v>
      </c>
      <c r="E32" s="114">
        <v>0</v>
      </c>
      <c r="F32" s="114">
        <v>0</v>
      </c>
      <c r="G32" s="114">
        <v>0</v>
      </c>
    </row>
    <row r="33" spans="1:7">
      <c r="A33" s="95" t="s">
        <v>26</v>
      </c>
      <c r="B33" s="110">
        <v>0</v>
      </c>
      <c r="C33" s="110">
        <v>0</v>
      </c>
      <c r="D33" s="110">
        <v>0</v>
      </c>
      <c r="E33" s="110">
        <f>' Summary - General Fund'!E281</f>
        <v>0</v>
      </c>
      <c r="F33" s="110">
        <v>0</v>
      </c>
      <c r="G33" s="110">
        <f>' Summary - General Fund'!F281</f>
        <v>0</v>
      </c>
    </row>
    <row r="34" spans="1:7">
      <c r="A34" s="95" t="s">
        <v>5</v>
      </c>
      <c r="B34" s="113">
        <f>-311488.05-5014.44</f>
        <v>-316502.49</v>
      </c>
      <c r="C34" s="110">
        <v>0</v>
      </c>
      <c r="D34" s="110">
        <v>0</v>
      </c>
      <c r="E34" s="110">
        <v>-2930</v>
      </c>
      <c r="F34" s="110">
        <v>-2930</v>
      </c>
      <c r="G34" s="110">
        <v>0</v>
      </c>
    </row>
    <row r="35" spans="1:7" s="3" customFormat="1" ht="15.75" thickBot="1">
      <c r="A35" s="18" t="s">
        <v>869</v>
      </c>
      <c r="B35" s="111">
        <f>SUM(B31:B34)</f>
        <v>-316502.49</v>
      </c>
      <c r="C35" s="111">
        <f>SUM(C31:C34)</f>
        <v>0</v>
      </c>
      <c r="D35" s="111"/>
      <c r="E35" s="111">
        <f>SUM(E31:E34)</f>
        <v>-2930</v>
      </c>
      <c r="F35" s="111">
        <f>SUM(F31:F34)</f>
        <v>-2930</v>
      </c>
      <c r="G35" s="111">
        <f>SUM(G31:G34)</f>
        <v>0</v>
      </c>
    </row>
    <row r="36" spans="1:7" s="32" customFormat="1" ht="13.5" thickTop="1">
      <c r="A36" s="29"/>
      <c r="B36" s="115"/>
      <c r="C36" s="115"/>
      <c r="D36" s="115"/>
      <c r="E36" s="115"/>
      <c r="F36" s="115"/>
      <c r="G36" s="115"/>
    </row>
    <row r="37" spans="1:7" s="32" customFormat="1" ht="50.1" customHeight="1">
      <c r="A37" s="90" t="s">
        <v>871</v>
      </c>
      <c r="B37" s="137">
        <f>B35+B28</f>
        <v>-469781.59999999986</v>
      </c>
      <c r="C37" s="137">
        <f t="shared" ref="C37:D37" si="3">C35+C28</f>
        <v>42602</v>
      </c>
      <c r="D37" s="137">
        <f t="shared" si="3"/>
        <v>0</v>
      </c>
      <c r="E37" s="137">
        <f>E35+E28</f>
        <v>-20202.200000000186</v>
      </c>
      <c r="F37" s="137">
        <f t="shared" ref="F37:G37" si="4">F35+F28</f>
        <v>-35314.73909090925</v>
      </c>
      <c r="G37" s="137">
        <f t="shared" si="4"/>
        <v>-290606.75</v>
      </c>
    </row>
    <row r="38" spans="1:7" ht="15.75" thickBot="1">
      <c r="A38" s="173" t="s">
        <v>935</v>
      </c>
      <c r="B38" s="137">
        <v>201788</v>
      </c>
      <c r="C38" s="133">
        <v>0</v>
      </c>
      <c r="D38" s="133">
        <f t="shared" ref="D38" si="5">D28+D35</f>
        <v>0</v>
      </c>
      <c r="E38" s="133">
        <v>143677</v>
      </c>
      <c r="F38" s="133">
        <v>143677</v>
      </c>
      <c r="G38" s="133">
        <v>207000</v>
      </c>
    </row>
    <row r="39" spans="1:7" ht="16.5" thickTop="1" thickBot="1">
      <c r="A39" s="90"/>
      <c r="B39" s="111">
        <f>SUM(B37:B38)</f>
        <v>-267993.59999999986</v>
      </c>
      <c r="C39" s="111">
        <f t="shared" ref="C39:G39" si="6">SUM(C37:C38)</f>
        <v>42602</v>
      </c>
      <c r="D39" s="111">
        <f t="shared" si="6"/>
        <v>0</v>
      </c>
      <c r="E39" s="111">
        <f>SUM(E37:E38)</f>
        <v>123474.79999999981</v>
      </c>
      <c r="F39" s="111">
        <f t="shared" si="6"/>
        <v>108362.26090909075</v>
      </c>
      <c r="G39" s="111">
        <f t="shared" si="6"/>
        <v>-83606.75</v>
      </c>
    </row>
    <row r="40" spans="1:7" s="32" customFormat="1" ht="13.5" thickTop="1">
      <c r="A40" s="29"/>
      <c r="B40" s="115"/>
      <c r="C40" s="115"/>
      <c r="D40" s="115"/>
      <c r="E40" s="115"/>
      <c r="F40" s="115"/>
      <c r="G40" s="115"/>
    </row>
    <row r="41" spans="1:7">
      <c r="A41" s="95" t="s">
        <v>7</v>
      </c>
      <c r="B41" s="110">
        <v>6881575</v>
      </c>
      <c r="C41" s="110">
        <v>6613578</v>
      </c>
      <c r="D41" s="110">
        <v>0</v>
      </c>
      <c r="E41" s="110">
        <f>C41</f>
        <v>6613578</v>
      </c>
      <c r="F41" s="110">
        <v>1706578</v>
      </c>
      <c r="G41" s="110">
        <f>E42</f>
        <v>6737052.7999999998</v>
      </c>
    </row>
    <row r="42" spans="1:7" ht="15.75" thickBot="1">
      <c r="A42" s="87" t="s">
        <v>873</v>
      </c>
      <c r="B42" s="111">
        <f>B41+B39</f>
        <v>6613581.4000000004</v>
      </c>
      <c r="C42" s="111">
        <f t="shared" ref="C42:G42" si="7">C41+C39</f>
        <v>6656180</v>
      </c>
      <c r="D42" s="111">
        <f t="shared" si="7"/>
        <v>0</v>
      </c>
      <c r="E42" s="111">
        <f t="shared" si="7"/>
        <v>6737052.7999999998</v>
      </c>
      <c r="F42" s="111">
        <f t="shared" si="7"/>
        <v>1814940.2609090907</v>
      </c>
      <c r="G42" s="111">
        <f t="shared" si="7"/>
        <v>6653446.0499999998</v>
      </c>
    </row>
    <row r="43" spans="1:7" ht="15.75" thickTop="1">
      <c r="A43" s="29"/>
      <c r="B43" s="115"/>
      <c r="C43" s="115"/>
      <c r="D43" s="115"/>
      <c r="E43" s="115"/>
      <c r="F43" s="115"/>
      <c r="G43" s="115"/>
    </row>
    <row r="44" spans="1:7">
      <c r="A44" s="29"/>
      <c r="B44" s="115"/>
      <c r="C44" s="115"/>
      <c r="D44" s="115"/>
      <c r="E44" s="115"/>
      <c r="F44" s="115"/>
      <c r="G44" s="115"/>
    </row>
    <row r="45" spans="1:7">
      <c r="A45" s="29"/>
      <c r="B45" s="115"/>
      <c r="C45" s="115"/>
      <c r="D45" s="115"/>
      <c r="E45" s="115"/>
      <c r="F45" s="115"/>
      <c r="G45" s="115"/>
    </row>
    <row r="46" spans="1:7">
      <c r="A46" s="87" t="s">
        <v>874</v>
      </c>
      <c r="B46" s="115"/>
      <c r="C46" s="115"/>
      <c r="D46" s="115"/>
      <c r="E46" s="115"/>
      <c r="F46" s="115"/>
      <c r="G46" s="115"/>
    </row>
    <row r="47" spans="1:7">
      <c r="A47" s="87"/>
      <c r="B47" s="115"/>
      <c r="C47" s="115"/>
      <c r="D47" s="115"/>
      <c r="E47" s="115"/>
      <c r="F47" s="115"/>
      <c r="G47" s="115"/>
    </row>
    <row r="48" spans="1:7">
      <c r="A48" s="87" t="s">
        <v>875</v>
      </c>
      <c r="B48" s="110" t="s">
        <v>6</v>
      </c>
      <c r="C48" s="110" t="s">
        <v>6</v>
      </c>
      <c r="D48" s="110"/>
      <c r="E48" s="110" t="s">
        <v>6</v>
      </c>
      <c r="F48" s="110" t="s">
        <v>6</v>
      </c>
      <c r="G48" s="110" t="s">
        <v>6</v>
      </c>
    </row>
    <row r="49" spans="1:7">
      <c r="A49" s="95" t="s">
        <v>636</v>
      </c>
      <c r="B49" s="110">
        <v>369165</v>
      </c>
      <c r="C49" s="110">
        <v>301364</v>
      </c>
      <c r="D49" s="110">
        <v>0</v>
      </c>
      <c r="E49" s="110">
        <v>0</v>
      </c>
      <c r="F49" s="110">
        <v>425000</v>
      </c>
      <c r="G49" s="110">
        <v>466041</v>
      </c>
    </row>
    <row r="50" spans="1:7">
      <c r="A50" s="95" t="s">
        <v>637</v>
      </c>
      <c r="B50" s="110">
        <v>436604</v>
      </c>
      <c r="C50" s="110">
        <v>466041</v>
      </c>
      <c r="D50" s="110">
        <v>0</v>
      </c>
      <c r="E50" s="110">
        <v>0</v>
      </c>
      <c r="F50" s="110">
        <v>392000</v>
      </c>
      <c r="G50" s="110">
        <v>377604</v>
      </c>
    </row>
    <row r="51" spans="1:7">
      <c r="A51" s="95" t="s">
        <v>8</v>
      </c>
      <c r="B51" s="110">
        <v>0</v>
      </c>
      <c r="C51" s="110">
        <v>0</v>
      </c>
      <c r="D51" s="110">
        <v>0</v>
      </c>
      <c r="E51" s="110">
        <v>0</v>
      </c>
      <c r="F51" s="110">
        <v>0</v>
      </c>
      <c r="G51" s="110">
        <v>0</v>
      </c>
    </row>
    <row r="52" spans="1:7">
      <c r="A52" s="95" t="s">
        <v>9</v>
      </c>
      <c r="B52" s="110">
        <v>0</v>
      </c>
      <c r="C52" s="110">
        <v>0</v>
      </c>
      <c r="D52" s="110">
        <v>0</v>
      </c>
      <c r="E52" s="110">
        <v>0</v>
      </c>
      <c r="F52" s="110">
        <v>0</v>
      </c>
      <c r="G52" s="110">
        <v>0</v>
      </c>
    </row>
    <row r="53" spans="1:7">
      <c r="A53" s="95" t="s">
        <v>324</v>
      </c>
      <c r="B53" s="110">
        <v>0</v>
      </c>
      <c r="C53" s="110">
        <v>50000</v>
      </c>
      <c r="D53" s="110">
        <v>0</v>
      </c>
      <c r="E53" s="110">
        <v>0</v>
      </c>
      <c r="F53" s="110">
        <v>25000</v>
      </c>
      <c r="G53" s="110">
        <v>50000</v>
      </c>
    </row>
    <row r="54" spans="1:7">
      <c r="A54" s="95" t="s">
        <v>638</v>
      </c>
      <c r="B54" s="110">
        <v>0</v>
      </c>
      <c r="C54" s="110">
        <v>100000</v>
      </c>
      <c r="D54" s="110">
        <v>0</v>
      </c>
      <c r="E54" s="110">
        <v>0</v>
      </c>
      <c r="F54" s="110">
        <v>75000</v>
      </c>
      <c r="G54" s="110">
        <v>100000</v>
      </c>
    </row>
    <row r="55" spans="1:7">
      <c r="A55" s="95" t="s">
        <v>639</v>
      </c>
      <c r="B55" s="110">
        <v>0</v>
      </c>
      <c r="C55" s="110">
        <f t="shared" ref="C55:D55" si="8">C11*0.25</f>
        <v>289150</v>
      </c>
      <c r="D55" s="110">
        <f t="shared" si="8"/>
        <v>0</v>
      </c>
      <c r="E55" s="110">
        <v>0</v>
      </c>
      <c r="F55" s="110">
        <v>301468</v>
      </c>
      <c r="G55" s="110">
        <v>291351</v>
      </c>
    </row>
    <row r="56" spans="1:7" s="3" customFormat="1" ht="15.75" thickBot="1">
      <c r="A56" s="87" t="s">
        <v>876</v>
      </c>
      <c r="B56" s="111">
        <f t="shared" ref="B56:G56" si="9">SUM(B48:B55)</f>
        <v>805769</v>
      </c>
      <c r="C56" s="111">
        <f t="shared" si="9"/>
        <v>1206555</v>
      </c>
      <c r="D56" s="111">
        <f t="shared" si="9"/>
        <v>0</v>
      </c>
      <c r="E56" s="111">
        <f t="shared" si="9"/>
        <v>0</v>
      </c>
      <c r="F56" s="111">
        <f t="shared" si="9"/>
        <v>1218468</v>
      </c>
      <c r="G56" s="111">
        <f t="shared" si="9"/>
        <v>1284996</v>
      </c>
    </row>
    <row r="57" spans="1:7" ht="15.75" thickTop="1">
      <c r="A57" s="87"/>
      <c r="B57" s="136"/>
      <c r="C57" s="136"/>
      <c r="D57" s="136"/>
      <c r="E57" s="136"/>
      <c r="F57" s="136"/>
      <c r="G57" s="136"/>
    </row>
    <row r="58" spans="1:7" ht="15.75" thickBot="1">
      <c r="A58" s="87" t="s">
        <v>877</v>
      </c>
      <c r="B58" s="133">
        <f>B42-B56</f>
        <v>5807812.4000000004</v>
      </c>
      <c r="C58" s="133">
        <f>C42-C56</f>
        <v>5449625</v>
      </c>
      <c r="D58" s="133" t="s">
        <v>6</v>
      </c>
      <c r="E58" s="133">
        <f>SUM(E42-E56)</f>
        <v>6737052.7999999998</v>
      </c>
      <c r="F58" s="133">
        <f>F42-F56</f>
        <v>596472.26090909075</v>
      </c>
      <c r="G58" s="133">
        <f>G42-G56</f>
        <v>5368450.05</v>
      </c>
    </row>
    <row r="59" spans="1:7" ht="10.5" customHeight="1" thickTop="1">
      <c r="A59" s="29"/>
      <c r="B59" s="29"/>
      <c r="C59" s="29"/>
      <c r="D59" s="29"/>
      <c r="E59" s="29"/>
      <c r="F59" s="29"/>
      <c r="G59" s="29"/>
    </row>
    <row r="60" spans="1:7">
      <c r="A60" s="116" t="s">
        <v>31</v>
      </c>
      <c r="B60" s="89">
        <f>(B58/B11)</f>
        <v>4.7617765620935382</v>
      </c>
      <c r="C60" s="89">
        <f>(C58/C11)</f>
        <v>4.7117629258170499</v>
      </c>
      <c r="D60" s="89"/>
      <c r="E60" s="89">
        <f>(E58/E11)</f>
        <v>5.7590236191804065</v>
      </c>
      <c r="F60" s="89">
        <f>(F58/F11)</f>
        <v>0.46782853412840336</v>
      </c>
      <c r="G60" s="89">
        <f>(G58/G11)</f>
        <v>4.6116346822894743</v>
      </c>
    </row>
    <row r="61" spans="1:7" ht="10.5" customHeight="1"/>
  </sheetData>
  <mergeCells count="2">
    <mergeCell ref="A1:G1"/>
    <mergeCell ref="A2:G2"/>
  </mergeCells>
  <pageMargins left="0.75" right="0.75" top="0.5" bottom="1" header="0.3" footer="0.3"/>
  <pageSetup scale="66" fitToHeight="0" orientation="portrait" r:id="rId1"/>
  <headerFooter>
    <oddFooter xml:space="preserve">&amp;C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27"/>
  <sheetViews>
    <sheetView workbookViewId="0">
      <pane ySplit="4" topLeftCell="A54" activePane="bottomLeft" state="frozen"/>
      <selection pane="bottomLeft" activeCell="J2" sqref="J1:J1048576"/>
    </sheetView>
  </sheetViews>
  <sheetFormatPr defaultRowHeight="15"/>
  <cols>
    <col min="1" max="1" width="10.7109375" style="29" customWidth="1"/>
    <col min="2" max="2" width="5.7109375" style="29" customWidth="1"/>
    <col min="3" max="3" width="35.7109375" style="29" customWidth="1"/>
    <col min="4" max="4" width="5.7109375" style="29" customWidth="1"/>
    <col min="5" max="7" width="15.7109375" style="31" customWidth="1"/>
    <col min="8" max="8" width="15.7109375" style="31" hidden="1" customWidth="1"/>
    <col min="9" max="9" width="15.7109375" style="31" customWidth="1"/>
    <col min="10" max="10" width="48.140625" style="31" hidden="1" customWidth="1"/>
  </cols>
  <sheetData>
    <row r="1" spans="1:10">
      <c r="A1" s="251" t="s">
        <v>882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0">
      <c r="A2" s="103"/>
      <c r="B2" s="103"/>
      <c r="C2" s="103"/>
      <c r="D2" s="103"/>
      <c r="E2" s="103"/>
      <c r="F2" s="103"/>
      <c r="G2" s="103"/>
      <c r="H2" s="103"/>
      <c r="I2" s="103"/>
      <c r="J2" s="103"/>
    </row>
    <row r="3" spans="1:10">
      <c r="E3" s="63">
        <v>2019</v>
      </c>
      <c r="F3" s="63">
        <v>2019</v>
      </c>
      <c r="G3" s="51">
        <v>2019</v>
      </c>
      <c r="H3" s="51">
        <v>2019</v>
      </c>
      <c r="I3" s="64" t="s">
        <v>839</v>
      </c>
      <c r="J3" s="52" t="s">
        <v>887</v>
      </c>
    </row>
    <row r="4" spans="1:10">
      <c r="E4" s="66" t="s">
        <v>862</v>
      </c>
      <c r="F4" s="66" t="s">
        <v>863</v>
      </c>
      <c r="G4" s="66" t="s">
        <v>1147</v>
      </c>
      <c r="H4" s="66" t="s">
        <v>909</v>
      </c>
      <c r="I4" s="67" t="s">
        <v>826</v>
      </c>
      <c r="J4" s="18"/>
    </row>
    <row r="5" spans="1:10">
      <c r="A5" s="19"/>
      <c r="B5" s="19"/>
      <c r="C5" s="19"/>
      <c r="D5" s="19"/>
      <c r="E5" s="20"/>
      <c r="F5" s="20"/>
      <c r="G5" s="20"/>
      <c r="H5" s="20"/>
      <c r="I5" s="29"/>
      <c r="J5"/>
    </row>
    <row r="6" spans="1:10">
      <c r="A6" s="251" t="s">
        <v>879</v>
      </c>
      <c r="B6" s="251"/>
      <c r="C6" s="251"/>
      <c r="D6" s="251"/>
      <c r="E6" s="251"/>
      <c r="F6" s="251"/>
      <c r="G6" s="251"/>
      <c r="H6" s="251"/>
      <c r="I6" s="251"/>
      <c r="J6"/>
    </row>
    <row r="7" spans="1:10">
      <c r="A7" s="103"/>
      <c r="B7" s="103"/>
      <c r="C7" s="103"/>
      <c r="D7" s="103"/>
      <c r="E7" s="103"/>
      <c r="F7" s="103"/>
      <c r="G7" s="103"/>
      <c r="H7" s="103"/>
      <c r="I7" s="103"/>
      <c r="J7"/>
    </row>
    <row r="8" spans="1:10">
      <c r="A8" s="107"/>
      <c r="B8" s="107"/>
      <c r="C8" s="107" t="s">
        <v>528</v>
      </c>
      <c r="D8" s="107"/>
      <c r="E8" s="107"/>
      <c r="F8" s="107"/>
      <c r="G8" s="107"/>
      <c r="H8" s="107"/>
      <c r="I8" s="107"/>
      <c r="J8"/>
    </row>
    <row r="9" spans="1:10" ht="15" customHeight="1">
      <c r="A9" s="29" t="s">
        <v>926</v>
      </c>
      <c r="C9" s="95" t="s">
        <v>533</v>
      </c>
      <c r="E9" s="30">
        <v>1100000</v>
      </c>
      <c r="F9" s="30">
        <v>0</v>
      </c>
      <c r="G9" s="30">
        <v>1102045.55</v>
      </c>
      <c r="H9" s="30">
        <f>(G9/11)*12</f>
        <v>1202231.509090909</v>
      </c>
      <c r="I9" s="30">
        <v>1100000</v>
      </c>
      <c r="J9" s="29"/>
    </row>
    <row r="10" spans="1:10" s="4" customFormat="1" ht="15" customHeight="1">
      <c r="A10" s="33" t="s">
        <v>534</v>
      </c>
      <c r="B10" s="33"/>
      <c r="C10" s="93" t="s">
        <v>535</v>
      </c>
      <c r="D10" s="33"/>
      <c r="E10" s="47">
        <v>1000</v>
      </c>
      <c r="F10" s="47">
        <v>0</v>
      </c>
      <c r="G10" s="47">
        <v>0</v>
      </c>
      <c r="H10" s="47">
        <f>G10+((G10/9)*3)</f>
        <v>0</v>
      </c>
      <c r="I10" s="47">
        <v>0</v>
      </c>
      <c r="J10" s="33"/>
    </row>
    <row r="11" spans="1:10" s="4" customFormat="1" ht="15" customHeight="1">
      <c r="A11" s="33" t="s">
        <v>536</v>
      </c>
      <c r="B11" s="33"/>
      <c r="C11" s="93" t="s">
        <v>537</v>
      </c>
      <c r="D11" s="33"/>
      <c r="E11" s="47">
        <v>1000</v>
      </c>
      <c r="F11" s="47">
        <v>0</v>
      </c>
      <c r="G11" s="47">
        <v>0</v>
      </c>
      <c r="H11" s="47">
        <f>G11+((G11/9)*3)</f>
        <v>0</v>
      </c>
      <c r="I11" s="47">
        <v>0</v>
      </c>
      <c r="J11" s="33" t="s">
        <v>927</v>
      </c>
    </row>
    <row r="12" spans="1:10" ht="15" customHeight="1" thickBot="1">
      <c r="C12" s="18" t="s">
        <v>1063</v>
      </c>
      <c r="E12" s="99">
        <f>SUM(E9:E11)</f>
        <v>1102000</v>
      </c>
      <c r="F12" s="99">
        <f>SUM(F9:F11)</f>
        <v>0</v>
      </c>
      <c r="G12" s="99">
        <f>SUM(G9:G11)</f>
        <v>1102045.55</v>
      </c>
      <c r="H12" s="99">
        <f>SUM(H9:H11)</f>
        <v>1202231.509090909</v>
      </c>
      <c r="I12" s="99">
        <f>SUM(I9:I11)</f>
        <v>1100000</v>
      </c>
      <c r="J12" s="29"/>
    </row>
    <row r="13" spans="1:10" ht="15" customHeight="1" thickTop="1">
      <c r="E13" s="98"/>
      <c r="F13" s="98"/>
      <c r="G13" s="98"/>
      <c r="H13" s="98"/>
      <c r="I13" s="98"/>
      <c r="J13" s="98"/>
    </row>
    <row r="14" spans="1:10" ht="15" customHeight="1">
      <c r="C14" s="18" t="s">
        <v>884</v>
      </c>
    </row>
    <row r="15" spans="1:10" s="4" customFormat="1" ht="15" customHeight="1">
      <c r="A15" s="33" t="s">
        <v>538</v>
      </c>
      <c r="B15" s="33"/>
      <c r="C15" s="93" t="s">
        <v>553</v>
      </c>
      <c r="D15" s="33"/>
      <c r="E15" s="47">
        <v>12000</v>
      </c>
      <c r="F15" s="47">
        <v>0</v>
      </c>
      <c r="G15" s="47">
        <v>13121.89</v>
      </c>
      <c r="H15" s="47">
        <v>13122</v>
      </c>
      <c r="I15" s="47">
        <v>13500</v>
      </c>
      <c r="J15" s="33"/>
    </row>
    <row r="16" spans="1:10" s="4" customFormat="1" ht="15" customHeight="1">
      <c r="A16" s="33" t="s">
        <v>539</v>
      </c>
      <c r="B16" s="33"/>
      <c r="C16" s="93" t="s">
        <v>540</v>
      </c>
      <c r="D16" s="33"/>
      <c r="E16" s="47">
        <v>3600</v>
      </c>
      <c r="F16" s="47">
        <v>0</v>
      </c>
      <c r="G16" s="47">
        <v>3300</v>
      </c>
      <c r="H16" s="47">
        <v>3600</v>
      </c>
      <c r="I16" s="47">
        <v>3600</v>
      </c>
      <c r="J16" s="33"/>
    </row>
    <row r="17" spans="1:10" ht="15" customHeight="1" thickBot="1">
      <c r="C17" s="18" t="s">
        <v>1064</v>
      </c>
      <c r="D17" s="18"/>
      <c r="E17" s="99">
        <f>SUM(E15:E16)</f>
        <v>15600</v>
      </c>
      <c r="F17" s="99">
        <f>SUM(F15:F16)</f>
        <v>0</v>
      </c>
      <c r="G17" s="99">
        <f>SUM(G15:G16)</f>
        <v>16421.89</v>
      </c>
      <c r="H17" s="99">
        <f>SUM(H15:H16)</f>
        <v>16722</v>
      </c>
      <c r="I17" s="99">
        <f>SUM(I15:I16)</f>
        <v>17100</v>
      </c>
      <c r="J17" s="29"/>
    </row>
    <row r="18" spans="1:10" ht="15" customHeight="1" thickTop="1">
      <c r="E18" s="98"/>
      <c r="F18" s="98"/>
      <c r="G18" s="98"/>
      <c r="H18" s="98"/>
      <c r="I18" s="98"/>
      <c r="J18" s="98"/>
    </row>
    <row r="19" spans="1:10" ht="15" customHeight="1">
      <c r="C19" s="18" t="s">
        <v>530</v>
      </c>
    </row>
    <row r="20" spans="1:10" ht="15" customHeight="1">
      <c r="A20" s="29" t="s">
        <v>541</v>
      </c>
      <c r="C20" s="95" t="s">
        <v>542</v>
      </c>
      <c r="E20" s="30">
        <v>25000</v>
      </c>
      <c r="F20" s="30">
        <v>0</v>
      </c>
      <c r="G20" s="30">
        <v>36385</v>
      </c>
      <c r="H20" s="30">
        <f>(G20/11)*12</f>
        <v>39692.727272727272</v>
      </c>
      <c r="I20" s="30">
        <v>30000</v>
      </c>
      <c r="J20" s="29"/>
    </row>
    <row r="21" spans="1:10" ht="15" customHeight="1">
      <c r="A21" s="29" t="s">
        <v>543</v>
      </c>
      <c r="C21" s="95" t="s">
        <v>544</v>
      </c>
      <c r="E21" s="30">
        <v>2000</v>
      </c>
      <c r="F21" s="30">
        <v>0</v>
      </c>
      <c r="G21" s="30">
        <v>3461.08</v>
      </c>
      <c r="H21" s="30">
        <f>(G21/11)*12</f>
        <v>3775.7236363636362</v>
      </c>
      <c r="I21" s="30">
        <v>3500</v>
      </c>
      <c r="J21" s="29"/>
    </row>
    <row r="22" spans="1:10" ht="15" customHeight="1">
      <c r="A22" s="29" t="s">
        <v>545</v>
      </c>
      <c r="C22" s="95" t="s">
        <v>548</v>
      </c>
      <c r="E22" s="30">
        <v>0</v>
      </c>
      <c r="F22" s="30">
        <v>0</v>
      </c>
      <c r="G22" s="30">
        <v>653.71</v>
      </c>
      <c r="H22" s="30">
        <f>(G22/11)*12</f>
        <v>713.13818181818181</v>
      </c>
      <c r="I22" s="30">
        <v>1000</v>
      </c>
      <c r="J22" s="29"/>
    </row>
    <row r="23" spans="1:10" ht="15" customHeight="1">
      <c r="A23" s="29" t="s">
        <v>546</v>
      </c>
      <c r="C23" s="95" t="s">
        <v>547</v>
      </c>
      <c r="E23" s="30">
        <v>0</v>
      </c>
      <c r="F23" s="30">
        <v>0</v>
      </c>
      <c r="G23" s="30">
        <v>342.91</v>
      </c>
      <c r="H23" s="30">
        <f>(G23/11)*12</f>
        <v>374.0836363636364</v>
      </c>
      <c r="I23" s="30">
        <v>500</v>
      </c>
      <c r="J23" s="29"/>
    </row>
    <row r="24" spans="1:10" ht="15" customHeight="1">
      <c r="A24" s="29" t="s">
        <v>549</v>
      </c>
      <c r="C24" s="95" t="s">
        <v>550</v>
      </c>
      <c r="E24" s="30">
        <v>0</v>
      </c>
      <c r="F24" s="30">
        <v>0</v>
      </c>
      <c r="G24" s="30">
        <v>7.45</v>
      </c>
      <c r="H24" s="30">
        <f>(G24/11)*12</f>
        <v>8.127272727272727</v>
      </c>
      <c r="I24" s="30">
        <v>10</v>
      </c>
      <c r="J24" s="29"/>
    </row>
    <row r="25" spans="1:10" s="3" customFormat="1" ht="15" customHeight="1" thickBot="1">
      <c r="A25" s="18"/>
      <c r="B25" s="18"/>
      <c r="C25" s="18" t="s">
        <v>1065</v>
      </c>
      <c r="D25" s="18"/>
      <c r="E25" s="99">
        <f>SUM(E20:E24)</f>
        <v>27000</v>
      </c>
      <c r="F25" s="99">
        <f>SUM(F20:F24)</f>
        <v>0</v>
      </c>
      <c r="G25" s="99">
        <f>SUM(G20:G24)</f>
        <v>40850.15</v>
      </c>
      <c r="H25" s="99">
        <f>SUM(H20:H24)</f>
        <v>44563.799999999996</v>
      </c>
      <c r="I25" s="99">
        <f>SUM(I20:I24)</f>
        <v>35010</v>
      </c>
      <c r="J25" s="18"/>
    </row>
    <row r="26" spans="1:10" ht="15" customHeight="1" thickTop="1">
      <c r="E26" s="98"/>
      <c r="F26" s="98"/>
      <c r="G26" s="98"/>
      <c r="H26" s="98"/>
      <c r="I26" s="98"/>
      <c r="J26" s="98"/>
    </row>
    <row r="27" spans="1:10" ht="15" customHeight="1">
      <c r="C27" s="18" t="s">
        <v>885</v>
      </c>
    </row>
    <row r="28" spans="1:10" ht="15" customHeight="1">
      <c r="A28" s="29" t="s">
        <v>551</v>
      </c>
      <c r="C28" s="95" t="s">
        <v>552</v>
      </c>
      <c r="E28" s="30">
        <v>12000</v>
      </c>
      <c r="F28" s="30">
        <v>0</v>
      </c>
      <c r="G28" s="30">
        <v>10507.93</v>
      </c>
      <c r="H28" s="30">
        <f>(G28/11)*12</f>
        <v>11463.196363636363</v>
      </c>
      <c r="I28" s="30">
        <v>12000</v>
      </c>
      <c r="J28" s="29"/>
    </row>
    <row r="29" spans="1:10" s="3" customFormat="1" ht="15" customHeight="1" thickBot="1">
      <c r="A29" s="18"/>
      <c r="B29" s="18"/>
      <c r="C29" s="18" t="s">
        <v>1066</v>
      </c>
      <c r="D29" s="18"/>
      <c r="E29" s="99">
        <f>SUM(E28:E28)</f>
        <v>12000</v>
      </c>
      <c r="F29" s="99">
        <f>SUM(F28:F28)</f>
        <v>0</v>
      </c>
      <c r="G29" s="99">
        <f>SUM(G28:G28)</f>
        <v>10507.93</v>
      </c>
      <c r="H29" s="99">
        <f>SUM(H28:H28)</f>
        <v>11463.196363636363</v>
      </c>
      <c r="I29" s="99">
        <f>SUM(I28:I28)</f>
        <v>12000</v>
      </c>
      <c r="J29" s="18"/>
    </row>
    <row r="30" spans="1:10" ht="15" customHeight="1" thickTop="1">
      <c r="E30" s="98"/>
      <c r="F30" s="98"/>
      <c r="G30" s="98"/>
      <c r="H30" s="98"/>
      <c r="I30" s="98"/>
      <c r="J30" s="29"/>
    </row>
    <row r="31" spans="1:10" ht="15" customHeight="1" thickBot="1">
      <c r="A31" s="254" t="s">
        <v>1067</v>
      </c>
      <c r="B31" s="254"/>
      <c r="C31" s="254"/>
      <c r="D31" s="18"/>
      <c r="E31" s="99">
        <f>E12+E17+E25+E29</f>
        <v>1156600</v>
      </c>
      <c r="F31" s="99">
        <f>F12+F17+F25+F29</f>
        <v>0</v>
      </c>
      <c r="G31" s="100">
        <f>G12+G17+G25+G29</f>
        <v>1169825.5199999998</v>
      </c>
      <c r="H31" s="99">
        <f>H12+H17+H25+H29</f>
        <v>1274980.5054545454</v>
      </c>
      <c r="I31" s="99">
        <f>I12+I17+I25+I29</f>
        <v>1164110</v>
      </c>
      <c r="J31" s="29"/>
    </row>
    <row r="32" spans="1:10" ht="15" customHeight="1" thickTop="1">
      <c r="E32" s="98"/>
      <c r="F32" s="98"/>
      <c r="G32" s="98"/>
      <c r="H32" s="98"/>
      <c r="I32" s="98"/>
      <c r="J32" s="98"/>
    </row>
    <row r="34" spans="1:10" ht="15" customHeight="1"/>
    <row r="35" spans="1:10">
      <c r="A35" s="251" t="s">
        <v>894</v>
      </c>
      <c r="B35" s="251"/>
      <c r="C35" s="251"/>
      <c r="D35" s="251"/>
      <c r="E35" s="251"/>
      <c r="F35" s="251"/>
      <c r="G35" s="251"/>
      <c r="H35" s="251"/>
      <c r="I35" s="251"/>
      <c r="J35"/>
    </row>
    <row r="36" spans="1:10" ht="15" customHeight="1">
      <c r="A36" s="29" t="s">
        <v>6</v>
      </c>
      <c r="C36" s="29" t="s">
        <v>6</v>
      </c>
      <c r="E36" s="30" t="s">
        <v>6</v>
      </c>
      <c r="F36" s="30" t="s">
        <v>6</v>
      </c>
      <c r="G36" s="30" t="s">
        <v>6</v>
      </c>
      <c r="H36" s="30" t="s">
        <v>6</v>
      </c>
      <c r="I36" s="30" t="s">
        <v>6</v>
      </c>
      <c r="J36" s="30"/>
    </row>
    <row r="37" spans="1:10" ht="15" customHeight="1">
      <c r="C37" s="18" t="s">
        <v>22</v>
      </c>
      <c r="E37" s="30"/>
      <c r="F37" s="30"/>
      <c r="G37" s="30"/>
      <c r="H37" s="30"/>
      <c r="I37" s="30"/>
      <c r="J37" s="30"/>
    </row>
    <row r="38" spans="1:10" ht="15" customHeight="1">
      <c r="C38" s="123" t="s">
        <v>196</v>
      </c>
      <c r="E38" s="30"/>
      <c r="F38" s="30"/>
      <c r="G38" s="30"/>
      <c r="H38" s="30"/>
      <c r="I38" s="30"/>
      <c r="J38" s="30"/>
    </row>
    <row r="39" spans="1:10" ht="15" customHeight="1">
      <c r="A39" s="29" t="s">
        <v>554</v>
      </c>
      <c r="C39" s="124" t="s">
        <v>196</v>
      </c>
      <c r="E39" s="30">
        <v>89000</v>
      </c>
      <c r="F39" s="30">
        <v>0</v>
      </c>
      <c r="G39" s="30">
        <v>88936.6</v>
      </c>
      <c r="H39" s="47">
        <v>88502.67</v>
      </c>
      <c r="I39" s="30">
        <v>102000</v>
      </c>
      <c r="J39" s="29"/>
    </row>
    <row r="40" spans="1:10" ht="15" customHeight="1">
      <c r="A40" s="29" t="s">
        <v>555</v>
      </c>
      <c r="C40" s="124" t="s">
        <v>556</v>
      </c>
      <c r="E40" s="30">
        <v>62000</v>
      </c>
      <c r="F40" s="30">
        <v>0</v>
      </c>
      <c r="G40" s="30">
        <v>66833.289999999994</v>
      </c>
      <c r="H40" s="47">
        <v>66914.64</v>
      </c>
      <c r="I40" s="30">
        <v>65000</v>
      </c>
      <c r="J40" s="29"/>
    </row>
    <row r="41" spans="1:10" ht="15" customHeight="1">
      <c r="A41" s="29" t="s">
        <v>557</v>
      </c>
      <c r="C41" s="124" t="s">
        <v>17</v>
      </c>
      <c r="E41" s="30">
        <v>2500</v>
      </c>
      <c r="F41" s="30">
        <v>0</v>
      </c>
      <c r="G41" s="30">
        <v>2003.5</v>
      </c>
      <c r="H41" s="47">
        <v>1949.31</v>
      </c>
      <c r="I41" s="30">
        <v>2500</v>
      </c>
      <c r="J41" s="29"/>
    </row>
    <row r="42" spans="1:10" s="3" customFormat="1" ht="15" customHeight="1" thickBot="1">
      <c r="A42" s="18" t="s">
        <v>6</v>
      </c>
      <c r="B42" s="18"/>
      <c r="C42" s="123" t="s">
        <v>959</v>
      </c>
      <c r="D42" s="18"/>
      <c r="E42" s="99">
        <f>SUM(E39:E41)</f>
        <v>153500</v>
      </c>
      <c r="F42" s="99">
        <f t="shared" ref="F42:I42" si="0">SUM(F39:F41)</f>
        <v>0</v>
      </c>
      <c r="G42" s="99">
        <f t="shared" si="0"/>
        <v>157773.39000000001</v>
      </c>
      <c r="H42" s="99">
        <f t="shared" si="0"/>
        <v>157366.62</v>
      </c>
      <c r="I42" s="99">
        <f t="shared" si="0"/>
        <v>169500</v>
      </c>
      <c r="J42" s="18"/>
    </row>
    <row r="43" spans="1:10" ht="15" customHeight="1" thickTop="1">
      <c r="A43" s="29" t="s">
        <v>6</v>
      </c>
      <c r="C43" s="123" t="s">
        <v>197</v>
      </c>
      <c r="E43" s="30" t="s">
        <v>6</v>
      </c>
      <c r="F43" s="30" t="s">
        <v>6</v>
      </c>
      <c r="G43" s="30" t="s">
        <v>6</v>
      </c>
      <c r="H43" s="30" t="s">
        <v>6</v>
      </c>
      <c r="I43" s="30" t="s">
        <v>6</v>
      </c>
      <c r="J43" s="30"/>
    </row>
    <row r="44" spans="1:10" s="4" customFormat="1" ht="15" customHeight="1">
      <c r="A44" s="33" t="s">
        <v>220</v>
      </c>
      <c r="B44" s="33"/>
      <c r="C44" s="167" t="s">
        <v>221</v>
      </c>
      <c r="D44" s="33"/>
      <c r="E44" s="47">
        <v>7675</v>
      </c>
      <c r="F44" s="47">
        <v>0</v>
      </c>
      <c r="G44" s="47">
        <v>1938.46</v>
      </c>
      <c r="H44" s="47">
        <f>(G44/11)*12</f>
        <v>2114.6836363636362</v>
      </c>
      <c r="I44" s="47">
        <v>2000</v>
      </c>
      <c r="J44" s="145"/>
    </row>
    <row r="45" spans="1:10" ht="15" customHeight="1">
      <c r="A45" s="29" t="s">
        <v>558</v>
      </c>
      <c r="C45" s="124" t="s">
        <v>207</v>
      </c>
      <c r="E45" s="30">
        <v>11743</v>
      </c>
      <c r="F45" s="30">
        <v>0</v>
      </c>
      <c r="G45" s="30">
        <v>11314.31</v>
      </c>
      <c r="H45" s="30">
        <f>(G45/11)*12</f>
        <v>12342.883636363636</v>
      </c>
      <c r="I45" s="30">
        <f>I42*0.0765</f>
        <v>12966.75</v>
      </c>
      <c r="J45" s="29"/>
    </row>
    <row r="46" spans="1:10" s="4" customFormat="1" ht="15" customHeight="1">
      <c r="A46" s="159" t="s">
        <v>559</v>
      </c>
      <c r="B46" s="159"/>
      <c r="C46" s="160" t="s">
        <v>226</v>
      </c>
      <c r="D46" s="159"/>
      <c r="E46" s="140">
        <v>26000</v>
      </c>
      <c r="F46" s="140">
        <v>0</v>
      </c>
      <c r="G46" s="140">
        <v>18893.169999999998</v>
      </c>
      <c r="H46" s="30">
        <f>(G46/11)*12</f>
        <v>20610.730909090908</v>
      </c>
      <c r="I46" s="140">
        <v>26000</v>
      </c>
      <c r="J46" s="33"/>
    </row>
    <row r="47" spans="1:10" s="4" customFormat="1" ht="15" customHeight="1">
      <c r="A47" s="33" t="s">
        <v>560</v>
      </c>
      <c r="B47" s="33"/>
      <c r="C47" s="167" t="s">
        <v>230</v>
      </c>
      <c r="D47" s="33"/>
      <c r="E47" s="47">
        <v>32000</v>
      </c>
      <c r="F47" s="47">
        <v>0</v>
      </c>
      <c r="G47" s="47">
        <v>28665.62</v>
      </c>
      <c r="H47" s="47">
        <f>(G47/11)*12</f>
        <v>31271.585454545457</v>
      </c>
      <c r="I47" s="47">
        <v>35000</v>
      </c>
      <c r="J47" s="145"/>
    </row>
    <row r="48" spans="1:10" s="3" customFormat="1" ht="15" customHeight="1" thickBot="1">
      <c r="A48" s="18"/>
      <c r="B48" s="18"/>
      <c r="C48" s="123" t="s">
        <v>960</v>
      </c>
      <c r="D48" s="18"/>
      <c r="E48" s="99">
        <f>SUM(E44:E47)</f>
        <v>77418</v>
      </c>
      <c r="F48" s="99">
        <f t="shared" ref="F48:I48" si="1">SUM(F44:F47)</f>
        <v>0</v>
      </c>
      <c r="G48" s="99">
        <f t="shared" si="1"/>
        <v>60811.56</v>
      </c>
      <c r="H48" s="99">
        <f t="shared" si="1"/>
        <v>66339.883636363636</v>
      </c>
      <c r="I48" s="99">
        <f t="shared" si="1"/>
        <v>75966.75</v>
      </c>
      <c r="J48" s="18"/>
    </row>
    <row r="49" spans="1:10" s="3" customFormat="1" ht="15" customHeight="1" thickTop="1" thickBot="1">
      <c r="A49" s="18"/>
      <c r="B49" s="18"/>
      <c r="C49" s="18" t="s">
        <v>953</v>
      </c>
      <c r="D49" s="18"/>
      <c r="E49" s="36">
        <f>E42+E48</f>
        <v>230918</v>
      </c>
      <c r="F49" s="36">
        <f>F42+F48</f>
        <v>0</v>
      </c>
      <c r="G49" s="36">
        <f>G42+G48</f>
        <v>218584.95</v>
      </c>
      <c r="H49" s="36">
        <f>H42+H48</f>
        <v>223706.50363636363</v>
      </c>
      <c r="I49" s="36">
        <f>I42+I48</f>
        <v>245466.75</v>
      </c>
      <c r="J49" s="18"/>
    </row>
    <row r="50" spans="1:10" ht="15" customHeight="1" thickTop="1"/>
    <row r="51" spans="1:10" ht="15" customHeight="1">
      <c r="A51" s="29" t="s">
        <v>6</v>
      </c>
      <c r="C51" s="18" t="s">
        <v>199</v>
      </c>
      <c r="E51" s="30" t="s">
        <v>6</v>
      </c>
      <c r="F51" s="30" t="s">
        <v>6</v>
      </c>
      <c r="G51" s="30" t="s">
        <v>6</v>
      </c>
      <c r="H51" s="30" t="s">
        <v>6</v>
      </c>
      <c r="I51" s="30" t="s">
        <v>6</v>
      </c>
      <c r="J51" s="30"/>
    </row>
    <row r="52" spans="1:10" ht="15" customHeight="1">
      <c r="A52" s="29" t="s">
        <v>561</v>
      </c>
      <c r="C52" s="95" t="s">
        <v>562</v>
      </c>
      <c r="E52" s="30">
        <v>2000</v>
      </c>
      <c r="F52" s="30">
        <v>0</v>
      </c>
      <c r="G52" s="30">
        <v>2164.36</v>
      </c>
      <c r="H52" s="30">
        <f>(G52/11)*12</f>
        <v>2361.1200000000003</v>
      </c>
      <c r="I52" s="30">
        <v>2000</v>
      </c>
      <c r="J52" s="29"/>
    </row>
    <row r="53" spans="1:10" ht="15" customHeight="1">
      <c r="A53" s="29" t="s">
        <v>563</v>
      </c>
      <c r="C53" s="95" t="s">
        <v>564</v>
      </c>
      <c r="E53" s="30">
        <v>1500</v>
      </c>
      <c r="F53" s="30">
        <v>0</v>
      </c>
      <c r="G53" s="30">
        <v>400</v>
      </c>
      <c r="H53" s="30">
        <f>(G53/11)*12</f>
        <v>436.36363636363637</v>
      </c>
      <c r="I53" s="30">
        <v>600</v>
      </c>
      <c r="J53" s="29" t="s">
        <v>799</v>
      </c>
    </row>
    <row r="54" spans="1:10" s="3" customFormat="1" ht="15" customHeight="1" thickBot="1">
      <c r="A54" s="18" t="s">
        <v>6</v>
      </c>
      <c r="B54" s="18"/>
      <c r="C54" s="18" t="s">
        <v>954</v>
      </c>
      <c r="D54" s="18"/>
      <c r="E54" s="99">
        <f>SUM(E52:E53)</f>
        <v>3500</v>
      </c>
      <c r="F54" s="99">
        <f t="shared" ref="F54:I54" si="2">SUM(F52:F53)</f>
        <v>0</v>
      </c>
      <c r="G54" s="99">
        <f t="shared" si="2"/>
        <v>2564.36</v>
      </c>
      <c r="H54" s="99">
        <f t="shared" si="2"/>
        <v>2797.4836363636368</v>
      </c>
      <c r="I54" s="99">
        <f t="shared" si="2"/>
        <v>2600</v>
      </c>
      <c r="J54" s="18"/>
    </row>
    <row r="55" spans="1:10" ht="15" customHeight="1" thickTop="1">
      <c r="E55" s="30"/>
      <c r="F55" s="30"/>
      <c r="G55" s="30"/>
      <c r="H55" s="30"/>
      <c r="I55" s="30"/>
      <c r="J55" s="29"/>
    </row>
    <row r="56" spans="1:10" ht="15" customHeight="1">
      <c r="A56" s="29" t="s">
        <v>6</v>
      </c>
      <c r="C56" s="18" t="s">
        <v>202</v>
      </c>
      <c r="E56" s="30" t="s">
        <v>6</v>
      </c>
      <c r="F56" s="30" t="s">
        <v>6</v>
      </c>
      <c r="G56" s="30" t="s">
        <v>6</v>
      </c>
      <c r="H56" s="30" t="s">
        <v>6</v>
      </c>
      <c r="I56" s="30" t="s">
        <v>6</v>
      </c>
      <c r="J56" s="29"/>
    </row>
    <row r="57" spans="1:10" ht="15" customHeight="1">
      <c r="A57" s="29" t="s">
        <v>565</v>
      </c>
      <c r="C57" s="95" t="s">
        <v>566</v>
      </c>
      <c r="E57" s="30">
        <v>500</v>
      </c>
      <c r="F57" s="30">
        <v>0</v>
      </c>
      <c r="G57" s="30">
        <v>24.85</v>
      </c>
      <c r="H57" s="30">
        <v>25</v>
      </c>
      <c r="I57" s="30">
        <v>0</v>
      </c>
      <c r="J57" s="29"/>
    </row>
    <row r="58" spans="1:10" ht="15" customHeight="1">
      <c r="A58" s="29" t="s">
        <v>567</v>
      </c>
      <c r="C58" s="95" t="s">
        <v>878</v>
      </c>
      <c r="E58" s="30">
        <v>6000</v>
      </c>
      <c r="F58" s="30">
        <v>0</v>
      </c>
      <c r="G58" s="30">
        <v>8553.31</v>
      </c>
      <c r="H58" s="30">
        <f>(G58/11)*12</f>
        <v>9330.8836363636365</v>
      </c>
      <c r="I58" s="30">
        <v>6000</v>
      </c>
      <c r="J58" s="29"/>
    </row>
    <row r="59" spans="1:10" s="4" customFormat="1" ht="15" customHeight="1">
      <c r="A59" s="33" t="s">
        <v>568</v>
      </c>
      <c r="B59" s="33"/>
      <c r="C59" s="93" t="s">
        <v>569</v>
      </c>
      <c r="D59" s="33"/>
      <c r="E59" s="47">
        <v>25000</v>
      </c>
      <c r="F59" s="47">
        <v>0</v>
      </c>
      <c r="G59" s="47">
        <v>5223.33</v>
      </c>
      <c r="H59" s="47">
        <f>G59*2</f>
        <v>10446.66</v>
      </c>
      <c r="I59" s="47">
        <v>10500</v>
      </c>
      <c r="J59" s="33"/>
    </row>
    <row r="60" spans="1:10" s="4" customFormat="1" ht="15" customHeight="1">
      <c r="A60" s="33" t="s">
        <v>928</v>
      </c>
      <c r="B60" s="33"/>
      <c r="C60" s="93" t="s">
        <v>19</v>
      </c>
      <c r="D60" s="33"/>
      <c r="E60" s="47">
        <v>120000</v>
      </c>
      <c r="F60" s="47">
        <v>0</v>
      </c>
      <c r="G60" s="47">
        <v>85817.29</v>
      </c>
      <c r="H60" s="30">
        <f>(G60/11)*12</f>
        <v>93618.861818181816</v>
      </c>
      <c r="I60" s="47">
        <v>95000</v>
      </c>
      <c r="J60" s="33"/>
    </row>
    <row r="61" spans="1:10" s="4" customFormat="1" ht="15" customHeight="1">
      <c r="A61" s="33" t="s">
        <v>929</v>
      </c>
      <c r="B61" s="33"/>
      <c r="C61" s="93" t="s">
        <v>570</v>
      </c>
      <c r="D61" s="33"/>
      <c r="E61" s="47">
        <v>20000</v>
      </c>
      <c r="F61" s="47">
        <v>0</v>
      </c>
      <c r="G61" s="47">
        <v>36300.6</v>
      </c>
      <c r="H61" s="30">
        <f>(G61/11)*12</f>
        <v>39600.654545454541</v>
      </c>
      <c r="I61" s="47">
        <v>35000</v>
      </c>
      <c r="J61" s="33"/>
    </row>
    <row r="62" spans="1:10" s="4" customFormat="1" ht="15" customHeight="1">
      <c r="A62" s="33" t="s">
        <v>930</v>
      </c>
      <c r="B62" s="33"/>
      <c r="C62" s="93" t="s">
        <v>419</v>
      </c>
      <c r="D62" s="33"/>
      <c r="E62" s="47">
        <v>4500</v>
      </c>
      <c r="F62" s="47">
        <v>0</v>
      </c>
      <c r="G62" s="47">
        <v>1229.22</v>
      </c>
      <c r="H62" s="30">
        <f>(G62/11)*12</f>
        <v>1340.9672727272728</v>
      </c>
      <c r="I62" s="47">
        <v>1500</v>
      </c>
      <c r="J62" s="33" t="s">
        <v>6</v>
      </c>
    </row>
    <row r="63" spans="1:10" s="4" customFormat="1" ht="15" customHeight="1">
      <c r="A63" s="33" t="s">
        <v>931</v>
      </c>
      <c r="B63" s="33"/>
      <c r="C63" s="93" t="s">
        <v>571</v>
      </c>
      <c r="D63" s="33"/>
      <c r="E63" s="47">
        <v>10000</v>
      </c>
      <c r="F63" s="47">
        <v>0</v>
      </c>
      <c r="G63" s="47">
        <v>25</v>
      </c>
      <c r="H63" s="47">
        <v>25</v>
      </c>
      <c r="I63" s="47">
        <v>10000</v>
      </c>
      <c r="J63" s="59"/>
    </row>
    <row r="64" spans="1:10" s="4" customFormat="1" ht="15" customHeight="1">
      <c r="A64" s="33" t="s">
        <v>932</v>
      </c>
      <c r="B64" s="33"/>
      <c r="C64" s="93" t="s">
        <v>20</v>
      </c>
      <c r="D64" s="33"/>
      <c r="E64" s="47">
        <v>1000</v>
      </c>
      <c r="F64" s="47">
        <v>0</v>
      </c>
      <c r="G64" s="47">
        <v>1331.72</v>
      </c>
      <c r="H64" s="30">
        <f t="shared" ref="H64:H71" si="3">(G64/11)*12</f>
        <v>1452.7854545454545</v>
      </c>
      <c r="I64" s="47">
        <v>1000</v>
      </c>
      <c r="J64" s="33"/>
    </row>
    <row r="65" spans="1:10" s="4" customFormat="1" ht="15" customHeight="1">
      <c r="A65" s="33" t="s">
        <v>1053</v>
      </c>
      <c r="B65" s="33"/>
      <c r="C65" s="93" t="s">
        <v>250</v>
      </c>
      <c r="D65" s="33"/>
      <c r="E65" s="47">
        <v>0</v>
      </c>
      <c r="F65" s="47">
        <v>0</v>
      </c>
      <c r="G65" s="47">
        <v>0</v>
      </c>
      <c r="H65" s="30">
        <f t="shared" si="3"/>
        <v>0</v>
      </c>
      <c r="I65" s="47">
        <v>800</v>
      </c>
      <c r="J65" s="33"/>
    </row>
    <row r="66" spans="1:10" ht="15" customHeight="1">
      <c r="A66" s="29" t="s">
        <v>763</v>
      </c>
      <c r="C66" s="95" t="s">
        <v>572</v>
      </c>
      <c r="E66" s="30">
        <v>5500</v>
      </c>
      <c r="F66" s="30">
        <v>0</v>
      </c>
      <c r="G66" s="30">
        <v>5312.23</v>
      </c>
      <c r="H66" s="30">
        <f t="shared" si="3"/>
        <v>5795.16</v>
      </c>
      <c r="I66" s="30">
        <v>6000</v>
      </c>
      <c r="J66" s="29"/>
    </row>
    <row r="67" spans="1:10" s="4" customFormat="1" ht="15" customHeight="1">
      <c r="A67" s="33" t="s">
        <v>764</v>
      </c>
      <c r="B67" s="33"/>
      <c r="C67" s="93" t="s">
        <v>245</v>
      </c>
      <c r="D67" s="33"/>
      <c r="E67" s="47">
        <v>12000</v>
      </c>
      <c r="F67" s="47">
        <v>0</v>
      </c>
      <c r="G67" s="47">
        <v>4500</v>
      </c>
      <c r="H67" s="30">
        <f t="shared" si="3"/>
        <v>4909.090909090909</v>
      </c>
      <c r="I67" s="47">
        <v>6000</v>
      </c>
      <c r="J67" s="33"/>
    </row>
    <row r="68" spans="1:10" s="4" customFormat="1" ht="15" customHeight="1">
      <c r="A68" s="33" t="s">
        <v>933</v>
      </c>
      <c r="B68" s="33"/>
      <c r="C68" s="93" t="s">
        <v>243</v>
      </c>
      <c r="D68" s="33"/>
      <c r="E68" s="47">
        <v>1000</v>
      </c>
      <c r="F68" s="47">
        <v>0</v>
      </c>
      <c r="G68" s="47">
        <v>1000</v>
      </c>
      <c r="H68" s="30">
        <f t="shared" si="3"/>
        <v>1090.909090909091</v>
      </c>
      <c r="I68" s="47">
        <v>1000</v>
      </c>
      <c r="J68" s="33"/>
    </row>
    <row r="69" spans="1:10" s="4" customFormat="1" ht="15" customHeight="1">
      <c r="A69" s="33" t="s">
        <v>934</v>
      </c>
      <c r="B69" s="33"/>
      <c r="C69" s="93" t="s">
        <v>573</v>
      </c>
      <c r="D69" s="33"/>
      <c r="E69" s="47">
        <v>7000</v>
      </c>
      <c r="F69" s="47">
        <v>0</v>
      </c>
      <c r="G69" s="47">
        <v>6320.12</v>
      </c>
      <c r="H69" s="30">
        <f t="shared" si="3"/>
        <v>6894.676363636363</v>
      </c>
      <c r="I69" s="47">
        <v>5000</v>
      </c>
      <c r="J69" s="33"/>
    </row>
    <row r="70" spans="1:10" s="4" customFormat="1" ht="15" customHeight="1">
      <c r="A70" s="33" t="s">
        <v>765</v>
      </c>
      <c r="B70" s="33"/>
      <c r="C70" s="93" t="s">
        <v>249</v>
      </c>
      <c r="D70" s="33"/>
      <c r="E70" s="47">
        <v>45532</v>
      </c>
      <c r="F70" s="47">
        <v>0</v>
      </c>
      <c r="G70" s="47">
        <v>30830.02</v>
      </c>
      <c r="H70" s="30">
        <f t="shared" si="3"/>
        <v>33632.749090909092</v>
      </c>
      <c r="I70" s="47">
        <v>50000</v>
      </c>
      <c r="J70" s="33"/>
    </row>
    <row r="71" spans="1:10" ht="15" customHeight="1">
      <c r="A71" s="29" t="s">
        <v>767</v>
      </c>
      <c r="C71" s="95" t="s">
        <v>574</v>
      </c>
      <c r="E71" s="30">
        <v>25000</v>
      </c>
      <c r="F71" s="30">
        <v>0</v>
      </c>
      <c r="G71" s="30">
        <v>52827.19</v>
      </c>
      <c r="H71" s="30">
        <f t="shared" si="3"/>
        <v>57629.661818181819</v>
      </c>
      <c r="I71" s="30">
        <v>50000</v>
      </c>
      <c r="J71" s="29"/>
    </row>
    <row r="72" spans="1:10" s="3" customFormat="1" ht="15" customHeight="1" thickBot="1">
      <c r="A72" s="18"/>
      <c r="B72" s="18"/>
      <c r="C72" s="18" t="s">
        <v>955</v>
      </c>
      <c r="D72" s="18"/>
      <c r="E72" s="99">
        <f>SUM(E57:E71)</f>
        <v>283032</v>
      </c>
      <c r="F72" s="99">
        <f t="shared" ref="F72:I72" si="4">SUM(F57:F71)</f>
        <v>0</v>
      </c>
      <c r="G72" s="99">
        <f t="shared" si="4"/>
        <v>239294.88</v>
      </c>
      <c r="H72" s="99">
        <f t="shared" si="4"/>
        <v>265793.06</v>
      </c>
      <c r="I72" s="99">
        <f t="shared" si="4"/>
        <v>277800</v>
      </c>
      <c r="J72" s="18"/>
    </row>
    <row r="73" spans="1:10" ht="15" customHeight="1" thickTop="1"/>
    <row r="74" spans="1:10" ht="15" customHeight="1">
      <c r="C74" s="18" t="s">
        <v>204</v>
      </c>
    </row>
    <row r="75" spans="1:10" ht="15" customHeight="1">
      <c r="A75" s="29" t="s">
        <v>575</v>
      </c>
      <c r="C75" s="95" t="s">
        <v>373</v>
      </c>
      <c r="E75" s="30">
        <v>1200</v>
      </c>
      <c r="F75" s="30">
        <v>0</v>
      </c>
      <c r="G75" s="104">
        <v>1102.04</v>
      </c>
      <c r="H75" s="47">
        <v>1102</v>
      </c>
      <c r="I75" s="30">
        <v>1200</v>
      </c>
      <c r="J75" s="29"/>
    </row>
    <row r="76" spans="1:10" ht="15" customHeight="1">
      <c r="A76" s="29" t="s">
        <v>576</v>
      </c>
      <c r="C76" s="95" t="s">
        <v>577</v>
      </c>
      <c r="E76" s="30">
        <v>20000</v>
      </c>
      <c r="F76" s="30">
        <v>0</v>
      </c>
      <c r="G76" s="104">
        <v>11104.06</v>
      </c>
      <c r="H76" s="30">
        <f t="shared" ref="H76:H82" si="5">(G76/11)*12</f>
        <v>12113.519999999999</v>
      </c>
      <c r="I76" s="30">
        <v>20000</v>
      </c>
      <c r="J76" s="29"/>
    </row>
    <row r="77" spans="1:10" s="4" customFormat="1" ht="15" customHeight="1">
      <c r="A77" s="33" t="s">
        <v>578</v>
      </c>
      <c r="B77" s="33"/>
      <c r="C77" s="93" t="s">
        <v>275</v>
      </c>
      <c r="D77" s="33"/>
      <c r="E77" s="47">
        <v>2000</v>
      </c>
      <c r="F77" s="47">
        <v>0</v>
      </c>
      <c r="G77" s="161">
        <v>2796.19</v>
      </c>
      <c r="H77" s="30">
        <f t="shared" si="5"/>
        <v>3050.389090909091</v>
      </c>
      <c r="I77" s="47">
        <v>3000</v>
      </c>
      <c r="J77" s="33"/>
    </row>
    <row r="78" spans="1:10" s="4" customFormat="1" ht="15" customHeight="1">
      <c r="A78" s="33" t="s">
        <v>579</v>
      </c>
      <c r="B78" s="33"/>
      <c r="C78" s="93" t="s">
        <v>580</v>
      </c>
      <c r="D78" s="33"/>
      <c r="E78" s="47">
        <v>1000</v>
      </c>
      <c r="F78" s="47">
        <v>0</v>
      </c>
      <c r="G78" s="161">
        <v>2803.67</v>
      </c>
      <c r="H78" s="30">
        <f t="shared" si="5"/>
        <v>3058.5490909090909</v>
      </c>
      <c r="I78" s="47">
        <v>2500</v>
      </c>
      <c r="J78" s="33"/>
    </row>
    <row r="79" spans="1:10" s="4" customFormat="1" ht="15" customHeight="1">
      <c r="A79" s="33" t="s">
        <v>581</v>
      </c>
      <c r="B79" s="33"/>
      <c r="C79" s="93" t="s">
        <v>582</v>
      </c>
      <c r="D79" s="33"/>
      <c r="E79" s="47">
        <v>1000</v>
      </c>
      <c r="F79" s="47">
        <v>0</v>
      </c>
      <c r="G79" s="161">
        <v>110</v>
      </c>
      <c r="H79" s="30">
        <f t="shared" si="5"/>
        <v>120</v>
      </c>
      <c r="I79" s="47">
        <v>1000</v>
      </c>
      <c r="J79" s="33"/>
    </row>
    <row r="80" spans="1:10" ht="15" customHeight="1">
      <c r="A80" s="29" t="s">
        <v>583</v>
      </c>
      <c r="C80" s="95" t="s">
        <v>584</v>
      </c>
      <c r="E80" s="30">
        <v>7500</v>
      </c>
      <c r="F80" s="30">
        <v>0</v>
      </c>
      <c r="G80" s="104">
        <v>6717.67</v>
      </c>
      <c r="H80" s="30">
        <f t="shared" si="5"/>
        <v>7328.3672727272733</v>
      </c>
      <c r="I80" s="30">
        <v>6500</v>
      </c>
      <c r="J80" s="29"/>
    </row>
    <row r="81" spans="1:10" s="4" customFormat="1" ht="15" customHeight="1">
      <c r="A81" s="33" t="s">
        <v>585</v>
      </c>
      <c r="B81" s="33"/>
      <c r="C81" s="93" t="s">
        <v>586</v>
      </c>
      <c r="D81" s="33"/>
      <c r="E81" s="47">
        <v>4000</v>
      </c>
      <c r="F81" s="47">
        <v>0</v>
      </c>
      <c r="G81" s="161">
        <v>2240.1999999999998</v>
      </c>
      <c r="H81" s="30">
        <f t="shared" si="5"/>
        <v>2443.8545454545451</v>
      </c>
      <c r="I81" s="47">
        <v>3000</v>
      </c>
      <c r="J81" s="33"/>
    </row>
    <row r="82" spans="1:10" s="4" customFormat="1" ht="15" customHeight="1">
      <c r="A82" s="33" t="s">
        <v>587</v>
      </c>
      <c r="B82" s="33"/>
      <c r="C82" s="93" t="s">
        <v>588</v>
      </c>
      <c r="D82" s="33"/>
      <c r="E82" s="47">
        <v>7500</v>
      </c>
      <c r="F82" s="47">
        <v>0</v>
      </c>
      <c r="G82" s="161">
        <v>15114.35</v>
      </c>
      <c r="H82" s="30">
        <f t="shared" si="5"/>
        <v>16488.381818181817</v>
      </c>
      <c r="I82" s="47">
        <v>10000</v>
      </c>
      <c r="J82" s="33"/>
    </row>
    <row r="83" spans="1:10" s="3" customFormat="1" ht="15" customHeight="1" thickBot="1">
      <c r="A83" s="18"/>
      <c r="B83" s="18"/>
      <c r="C83" s="18" t="s">
        <v>956</v>
      </c>
      <c r="D83" s="18"/>
      <c r="E83" s="99">
        <f>SUM(E75:E82)</f>
        <v>44200</v>
      </c>
      <c r="F83" s="99">
        <f t="shared" ref="F83:I83" si="6">SUM(F75:F82)</f>
        <v>0</v>
      </c>
      <c r="G83" s="99">
        <f>SUM(G75:G82)</f>
        <v>41988.18</v>
      </c>
      <c r="H83" s="99">
        <f t="shared" si="6"/>
        <v>45705.061818181814</v>
      </c>
      <c r="I83" s="99">
        <f t="shared" si="6"/>
        <v>47200</v>
      </c>
      <c r="J83" s="18"/>
    </row>
    <row r="84" spans="1:10" ht="15" customHeight="1" thickTop="1">
      <c r="C84" s="29" t="s">
        <v>6</v>
      </c>
    </row>
    <row r="85" spans="1:10" ht="15" customHeight="1">
      <c r="C85" s="18" t="s">
        <v>356</v>
      </c>
    </row>
    <row r="86" spans="1:10" s="4" customFormat="1" ht="15" customHeight="1">
      <c r="A86" s="33" t="s">
        <v>589</v>
      </c>
      <c r="B86" s="33"/>
      <c r="C86" s="93" t="s">
        <v>590</v>
      </c>
      <c r="D86" s="33"/>
      <c r="E86" s="47">
        <v>1000</v>
      </c>
      <c r="F86" s="47">
        <v>0</v>
      </c>
      <c r="G86" s="47">
        <v>32.5</v>
      </c>
      <c r="H86" s="30">
        <f>(G86/11)*12</f>
        <v>35.454545454545453</v>
      </c>
      <c r="I86" s="47">
        <v>1000</v>
      </c>
      <c r="J86" s="33"/>
    </row>
    <row r="87" spans="1:10" s="4" customFormat="1" ht="15" customHeight="1">
      <c r="A87" s="33" t="s">
        <v>591</v>
      </c>
      <c r="B87" s="33"/>
      <c r="C87" s="93" t="s">
        <v>592</v>
      </c>
      <c r="D87" s="33"/>
      <c r="E87" s="47">
        <v>2000</v>
      </c>
      <c r="F87" s="47">
        <v>0</v>
      </c>
      <c r="G87" s="47">
        <v>0</v>
      </c>
      <c r="H87" s="30">
        <f>(G87/11)*12</f>
        <v>0</v>
      </c>
      <c r="I87" s="47">
        <v>2000</v>
      </c>
      <c r="J87" s="33"/>
    </row>
    <row r="88" spans="1:10" s="3" customFormat="1" ht="15" customHeight="1" thickBot="1">
      <c r="A88" s="18" t="s">
        <v>6</v>
      </c>
      <c r="B88" s="18"/>
      <c r="C88" s="18" t="s">
        <v>979</v>
      </c>
      <c r="D88" s="18"/>
      <c r="E88" s="99">
        <f>SUM(E86:E87)</f>
        <v>3000</v>
      </c>
      <c r="F88" s="99">
        <f t="shared" ref="F88:I88" si="7">SUM(F86:F87)</f>
        <v>0</v>
      </c>
      <c r="G88" s="99">
        <f t="shared" si="7"/>
        <v>32.5</v>
      </c>
      <c r="H88" s="99">
        <f t="shared" si="7"/>
        <v>35.454545454545453</v>
      </c>
      <c r="I88" s="99">
        <f t="shared" si="7"/>
        <v>3000</v>
      </c>
      <c r="J88" s="18"/>
    </row>
    <row r="89" spans="1:10" ht="15" customHeight="1" thickTop="1">
      <c r="A89" s="29" t="s">
        <v>6</v>
      </c>
      <c r="C89" s="29" t="s">
        <v>6</v>
      </c>
      <c r="E89" s="30" t="s">
        <v>6</v>
      </c>
      <c r="F89" s="30" t="s">
        <v>6</v>
      </c>
      <c r="G89" s="30" t="s">
        <v>6</v>
      </c>
      <c r="H89" s="30" t="s">
        <v>6</v>
      </c>
      <c r="I89" s="30" t="s">
        <v>6</v>
      </c>
      <c r="J89" s="29"/>
    </row>
    <row r="90" spans="1:10" ht="15" customHeight="1">
      <c r="C90" s="18" t="s">
        <v>217</v>
      </c>
      <c r="E90" s="30"/>
      <c r="F90" s="30"/>
      <c r="G90" s="30"/>
      <c r="H90" s="30"/>
      <c r="I90" s="30"/>
      <c r="J90" s="29"/>
    </row>
    <row r="91" spans="1:10" s="4" customFormat="1" ht="15" customHeight="1">
      <c r="A91" s="33" t="s">
        <v>593</v>
      </c>
      <c r="B91" s="33"/>
      <c r="C91" s="93" t="s">
        <v>594</v>
      </c>
      <c r="D91" s="33"/>
      <c r="E91" s="47">
        <v>1000</v>
      </c>
      <c r="F91" s="47">
        <v>0</v>
      </c>
      <c r="G91" s="161">
        <v>0</v>
      </c>
      <c r="H91" s="47">
        <f t="shared" ref="H91" si="8">G91+((G91/9)*3)</f>
        <v>0</v>
      </c>
      <c r="I91" s="47">
        <v>1000</v>
      </c>
      <c r="J91" s="33"/>
    </row>
    <row r="92" spans="1:10" s="4" customFormat="1" ht="15" customHeight="1">
      <c r="A92" s="33" t="s">
        <v>595</v>
      </c>
      <c r="B92" s="33"/>
      <c r="C92" s="93" t="s">
        <v>596</v>
      </c>
      <c r="D92" s="33"/>
      <c r="E92" s="47">
        <v>10000</v>
      </c>
      <c r="F92" s="47">
        <v>0</v>
      </c>
      <c r="G92" s="161">
        <v>7758.28</v>
      </c>
      <c r="H92" s="30">
        <f t="shared" ref="H92:H99" si="9">(G92/11)*12</f>
        <v>8463.5781818181822</v>
      </c>
      <c r="I92" s="47">
        <v>5000</v>
      </c>
      <c r="J92" s="33"/>
    </row>
    <row r="93" spans="1:10" ht="15" customHeight="1">
      <c r="A93" s="29" t="s">
        <v>597</v>
      </c>
      <c r="C93" s="95" t="s">
        <v>598</v>
      </c>
      <c r="E93" s="30">
        <v>25000</v>
      </c>
      <c r="F93" s="30">
        <v>0</v>
      </c>
      <c r="G93" s="104">
        <v>21897.94</v>
      </c>
      <c r="H93" s="30">
        <f t="shared" si="9"/>
        <v>23888.661818181816</v>
      </c>
      <c r="I93" s="30">
        <v>25000</v>
      </c>
      <c r="J93" s="29"/>
    </row>
    <row r="94" spans="1:10" ht="15" customHeight="1">
      <c r="A94" s="29" t="s">
        <v>599</v>
      </c>
      <c r="C94" s="95" t="s">
        <v>600</v>
      </c>
      <c r="E94" s="30">
        <v>1000</v>
      </c>
      <c r="F94" s="30">
        <v>0</v>
      </c>
      <c r="G94" s="104">
        <v>728.11</v>
      </c>
      <c r="H94" s="30">
        <f t="shared" si="9"/>
        <v>794.30181818181813</v>
      </c>
      <c r="I94" s="30">
        <v>500</v>
      </c>
      <c r="J94" s="29"/>
    </row>
    <row r="95" spans="1:10" s="4" customFormat="1" ht="15" customHeight="1">
      <c r="A95" s="33" t="s">
        <v>601</v>
      </c>
      <c r="B95" s="33"/>
      <c r="C95" s="93" t="s">
        <v>602</v>
      </c>
      <c r="D95" s="33"/>
      <c r="E95" s="47">
        <v>15000</v>
      </c>
      <c r="F95" s="47">
        <v>0</v>
      </c>
      <c r="G95" s="161">
        <v>14742.04</v>
      </c>
      <c r="H95" s="30">
        <f t="shared" si="9"/>
        <v>16082.225454545456</v>
      </c>
      <c r="I95" s="47">
        <v>15000</v>
      </c>
      <c r="J95" s="33"/>
    </row>
    <row r="96" spans="1:10" s="4" customFormat="1" ht="15" customHeight="1">
      <c r="A96" s="33" t="s">
        <v>603</v>
      </c>
      <c r="B96" s="33"/>
      <c r="C96" s="93" t="s">
        <v>604</v>
      </c>
      <c r="D96" s="33"/>
      <c r="E96" s="47">
        <v>7500</v>
      </c>
      <c r="F96" s="47">
        <v>0</v>
      </c>
      <c r="G96" s="161">
        <v>28.35</v>
      </c>
      <c r="H96" s="30">
        <f t="shared" si="9"/>
        <v>30.927272727272729</v>
      </c>
      <c r="I96" s="47">
        <v>7500</v>
      </c>
      <c r="J96" s="33"/>
    </row>
    <row r="97" spans="1:10" s="4" customFormat="1" ht="15" customHeight="1">
      <c r="A97" s="33" t="s">
        <v>605</v>
      </c>
      <c r="B97" s="33"/>
      <c r="C97" s="93" t="s">
        <v>606</v>
      </c>
      <c r="D97" s="33"/>
      <c r="E97" s="47">
        <v>10000</v>
      </c>
      <c r="F97" s="47">
        <v>0</v>
      </c>
      <c r="G97" s="161">
        <v>3619.43</v>
      </c>
      <c r="H97" s="30">
        <f t="shared" si="9"/>
        <v>3948.4690909090905</v>
      </c>
      <c r="I97" s="47">
        <v>1000</v>
      </c>
      <c r="J97" s="33"/>
    </row>
    <row r="98" spans="1:10" s="4" customFormat="1" ht="15" customHeight="1">
      <c r="A98" s="33" t="s">
        <v>607</v>
      </c>
      <c r="B98" s="33"/>
      <c r="C98" s="93" t="s">
        <v>608</v>
      </c>
      <c r="D98" s="33"/>
      <c r="E98" s="47">
        <v>75000</v>
      </c>
      <c r="F98" s="47">
        <v>0</v>
      </c>
      <c r="G98" s="161">
        <v>1131.02</v>
      </c>
      <c r="H98" s="30">
        <f t="shared" si="9"/>
        <v>1233.8399999999999</v>
      </c>
      <c r="I98" s="47">
        <v>60000</v>
      </c>
      <c r="J98" s="33"/>
    </row>
    <row r="99" spans="1:10" ht="15" customHeight="1">
      <c r="A99" s="29" t="s">
        <v>609</v>
      </c>
      <c r="C99" s="95" t="s">
        <v>610</v>
      </c>
      <c r="E99" s="30">
        <v>500</v>
      </c>
      <c r="F99" s="30">
        <v>0</v>
      </c>
      <c r="G99" s="104">
        <v>258.10000000000002</v>
      </c>
      <c r="H99" s="30">
        <f t="shared" si="9"/>
        <v>281.56363636363636</v>
      </c>
      <c r="I99" s="30">
        <v>350</v>
      </c>
      <c r="J99" s="29"/>
    </row>
    <row r="100" spans="1:10" s="3" customFormat="1" ht="15" customHeight="1" thickBot="1">
      <c r="A100" s="18"/>
      <c r="B100" s="18"/>
      <c r="C100" s="18" t="s">
        <v>961</v>
      </c>
      <c r="D100" s="18"/>
      <c r="E100" s="99">
        <f>SUM(E91:E99)</f>
        <v>145000</v>
      </c>
      <c r="F100" s="99">
        <f t="shared" ref="F100:I100" si="10">SUM(F91:F99)</f>
        <v>0</v>
      </c>
      <c r="G100" s="99">
        <f t="shared" si="10"/>
        <v>50163.26999999999</v>
      </c>
      <c r="H100" s="99">
        <f t="shared" si="10"/>
        <v>54723.567272727269</v>
      </c>
      <c r="I100" s="99">
        <f t="shared" si="10"/>
        <v>115350</v>
      </c>
      <c r="J100" s="18"/>
    </row>
    <row r="101" spans="1:10" ht="15" customHeight="1" thickTop="1"/>
    <row r="102" spans="1:10" ht="15" customHeight="1">
      <c r="C102" s="18" t="s">
        <v>423</v>
      </c>
    </row>
    <row r="103" spans="1:10" ht="15" customHeight="1">
      <c r="A103" s="29" t="s">
        <v>611</v>
      </c>
      <c r="C103" s="95" t="s">
        <v>612</v>
      </c>
      <c r="E103" s="30">
        <v>12000</v>
      </c>
      <c r="F103" s="30">
        <v>0</v>
      </c>
      <c r="G103" s="104">
        <v>14559.12</v>
      </c>
      <c r="H103" s="30">
        <f>(G103/11)*12</f>
        <v>15882.676363636365</v>
      </c>
      <c r="I103" s="30">
        <v>14000</v>
      </c>
      <c r="J103" s="29"/>
    </row>
    <row r="104" spans="1:10" s="4" customFormat="1" ht="15" customHeight="1">
      <c r="A104" s="33" t="s">
        <v>613</v>
      </c>
      <c r="B104" s="33"/>
      <c r="C104" s="93" t="s">
        <v>614</v>
      </c>
      <c r="D104" s="33"/>
      <c r="E104" s="47">
        <v>4200</v>
      </c>
      <c r="F104" s="47">
        <v>0</v>
      </c>
      <c r="G104" s="161">
        <v>11977.48</v>
      </c>
      <c r="H104" s="30">
        <f>(G104/11)*12</f>
        <v>13066.341818181816</v>
      </c>
      <c r="I104" s="47">
        <v>8500</v>
      </c>
      <c r="J104" s="33"/>
    </row>
    <row r="105" spans="1:10" s="4" customFormat="1" ht="15" customHeight="1">
      <c r="A105" s="33" t="s">
        <v>615</v>
      </c>
      <c r="B105" s="33"/>
      <c r="C105" s="93" t="s">
        <v>616</v>
      </c>
      <c r="D105" s="33"/>
      <c r="E105" s="47">
        <v>8800</v>
      </c>
      <c r="F105" s="47">
        <v>0</v>
      </c>
      <c r="G105" s="161">
        <v>302.01</v>
      </c>
      <c r="H105" s="30">
        <f>(G105/11)*12</f>
        <v>329.46545454545452</v>
      </c>
      <c r="I105" s="47">
        <v>8800</v>
      </c>
      <c r="J105" s="33"/>
    </row>
    <row r="106" spans="1:10" s="3" customFormat="1" ht="15" customHeight="1" thickBot="1">
      <c r="A106" s="18"/>
      <c r="B106" s="18"/>
      <c r="C106" s="18" t="s">
        <v>987</v>
      </c>
      <c r="D106" s="18"/>
      <c r="E106" s="99">
        <f>SUM(E103:E105)</f>
        <v>25000</v>
      </c>
      <c r="F106" s="99">
        <f t="shared" ref="F106:I106" si="11">SUM(F103:F105)</f>
        <v>0</v>
      </c>
      <c r="G106" s="99">
        <f t="shared" si="11"/>
        <v>26838.609999999997</v>
      </c>
      <c r="H106" s="99">
        <f t="shared" si="11"/>
        <v>29278.483636363635</v>
      </c>
      <c r="I106" s="99">
        <f t="shared" si="11"/>
        <v>31300</v>
      </c>
      <c r="J106" s="18"/>
    </row>
    <row r="107" spans="1:10" ht="15" customHeight="1" thickTop="1">
      <c r="J107" s="29"/>
    </row>
    <row r="108" spans="1:10" ht="15" customHeight="1">
      <c r="C108" s="18" t="s">
        <v>24</v>
      </c>
      <c r="J108" s="29"/>
    </row>
    <row r="109" spans="1:10" s="4" customFormat="1">
      <c r="A109" s="33" t="s">
        <v>617</v>
      </c>
      <c r="B109" s="33"/>
      <c r="C109" s="93" t="s">
        <v>618</v>
      </c>
      <c r="D109" s="33"/>
      <c r="E109" s="47">
        <v>10000</v>
      </c>
      <c r="F109" s="47">
        <v>0</v>
      </c>
      <c r="G109" s="161">
        <v>11063.22</v>
      </c>
      <c r="H109" s="30">
        <v>11063</v>
      </c>
      <c r="I109" s="47">
        <v>10000</v>
      </c>
      <c r="J109" s="33"/>
    </row>
    <row r="110" spans="1:10">
      <c r="A110" s="29" t="s">
        <v>619</v>
      </c>
      <c r="C110" s="95" t="s">
        <v>620</v>
      </c>
      <c r="E110" s="30">
        <v>0</v>
      </c>
      <c r="F110" s="30">
        <v>0</v>
      </c>
      <c r="G110" s="104">
        <v>0</v>
      </c>
      <c r="H110" s="30">
        <v>0</v>
      </c>
      <c r="I110" s="30">
        <v>0</v>
      </c>
      <c r="J110" s="29"/>
    </row>
    <row r="111" spans="1:10">
      <c r="A111" s="29" t="s">
        <v>621</v>
      </c>
      <c r="C111" s="95" t="s">
        <v>622</v>
      </c>
      <c r="E111" s="30">
        <v>5000</v>
      </c>
      <c r="F111" s="30">
        <v>0</v>
      </c>
      <c r="G111" s="104">
        <v>8662.6299999999992</v>
      </c>
      <c r="H111" s="30">
        <v>8662.6299999999992</v>
      </c>
      <c r="I111" s="30">
        <v>5000</v>
      </c>
      <c r="J111" s="29"/>
    </row>
    <row r="112" spans="1:10" s="3" customFormat="1" ht="15.75" thickBot="1">
      <c r="A112" s="18"/>
      <c r="B112" s="18"/>
      <c r="C112" s="18" t="s">
        <v>980</v>
      </c>
      <c r="D112" s="18"/>
      <c r="E112" s="99">
        <f>SUM(E109:E111)</f>
        <v>15000</v>
      </c>
      <c r="F112" s="99">
        <f t="shared" ref="F112:I112" si="12">SUM(F109:F111)</f>
        <v>0</v>
      </c>
      <c r="G112" s="99">
        <f t="shared" si="12"/>
        <v>19725.849999999999</v>
      </c>
      <c r="H112" s="99">
        <f t="shared" si="12"/>
        <v>19725.629999999997</v>
      </c>
      <c r="I112" s="99">
        <f t="shared" si="12"/>
        <v>15000</v>
      </c>
      <c r="J112" s="18"/>
    </row>
    <row r="113" spans="1:10" ht="15.75" thickTop="1">
      <c r="C113" s="29" t="s">
        <v>6</v>
      </c>
      <c r="J113" s="29"/>
    </row>
    <row r="114" spans="1:10">
      <c r="C114" s="18" t="s">
        <v>888</v>
      </c>
      <c r="J114" s="29"/>
    </row>
    <row r="115" spans="1:10" s="4" customFormat="1">
      <c r="A115" s="33" t="s">
        <v>623</v>
      </c>
      <c r="B115" s="33"/>
      <c r="C115" s="93" t="s">
        <v>624</v>
      </c>
      <c r="D115" s="33"/>
      <c r="E115" s="47">
        <v>90954</v>
      </c>
      <c r="F115" s="47">
        <v>0</v>
      </c>
      <c r="G115" s="161">
        <v>90953.600000000006</v>
      </c>
      <c r="H115" s="47">
        <v>90954</v>
      </c>
      <c r="I115" s="47">
        <v>90954</v>
      </c>
      <c r="J115" s="33"/>
    </row>
    <row r="116" spans="1:10" s="4" customFormat="1">
      <c r="A116" s="33" t="s">
        <v>625</v>
      </c>
      <c r="B116" s="33"/>
      <c r="C116" s="93" t="s">
        <v>626</v>
      </c>
      <c r="D116" s="33"/>
      <c r="E116" s="47">
        <v>45878</v>
      </c>
      <c r="F116" s="47">
        <v>0</v>
      </c>
      <c r="G116" s="213">
        <v>44205</v>
      </c>
      <c r="H116" s="47">
        <v>44205</v>
      </c>
      <c r="I116" s="47">
        <v>45878</v>
      </c>
      <c r="J116" s="33"/>
    </row>
    <row r="117" spans="1:10" s="4" customFormat="1">
      <c r="A117" s="159" t="s">
        <v>627</v>
      </c>
      <c r="B117" s="159"/>
      <c r="C117" s="210" t="s">
        <v>820</v>
      </c>
      <c r="D117" s="159"/>
      <c r="E117" s="140">
        <v>169468</v>
      </c>
      <c r="F117" s="140">
        <v>0</v>
      </c>
      <c r="G117" s="211">
        <v>106443</v>
      </c>
      <c r="H117" s="140">
        <v>106443</v>
      </c>
      <c r="I117" s="140">
        <v>109104</v>
      </c>
      <c r="J117" s="159"/>
    </row>
    <row r="118" spans="1:10" s="4" customFormat="1">
      <c r="A118" s="33" t="s">
        <v>628</v>
      </c>
      <c r="B118" s="33"/>
      <c r="C118" s="93" t="s">
        <v>629</v>
      </c>
      <c r="D118" s="33"/>
      <c r="E118" s="47">
        <v>14158</v>
      </c>
      <c r="F118" s="47">
        <v>0</v>
      </c>
      <c r="G118" s="161">
        <v>14158</v>
      </c>
      <c r="H118" s="47">
        <v>14158</v>
      </c>
      <c r="I118" s="47">
        <v>14158</v>
      </c>
      <c r="J118" s="33"/>
    </row>
    <row r="119" spans="1:10" s="4" customFormat="1">
      <c r="A119" s="33" t="s">
        <v>821</v>
      </c>
      <c r="B119" s="33"/>
      <c r="C119" s="93" t="s">
        <v>822</v>
      </c>
      <c r="D119" s="33"/>
      <c r="E119" s="47">
        <v>0</v>
      </c>
      <c r="F119" s="47">
        <v>0</v>
      </c>
      <c r="G119" s="161">
        <v>7340</v>
      </c>
      <c r="H119" s="47">
        <v>7340</v>
      </c>
      <c r="I119" s="47">
        <v>7340</v>
      </c>
      <c r="J119" s="33"/>
    </row>
    <row r="120" spans="1:10" s="4" customFormat="1">
      <c r="A120" s="33" t="s">
        <v>630</v>
      </c>
      <c r="B120" s="33"/>
      <c r="C120" s="93" t="s">
        <v>631</v>
      </c>
      <c r="D120" s="33"/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33"/>
    </row>
    <row r="121" spans="1:10" s="4" customFormat="1">
      <c r="A121" s="33" t="s">
        <v>632</v>
      </c>
      <c r="B121" s="33"/>
      <c r="C121" s="93" t="s">
        <v>633</v>
      </c>
      <c r="D121" s="33"/>
      <c r="E121" s="47">
        <v>0</v>
      </c>
      <c r="F121" s="47">
        <v>0</v>
      </c>
      <c r="G121" s="161">
        <v>0</v>
      </c>
      <c r="H121" s="47">
        <v>0</v>
      </c>
      <c r="I121" s="47">
        <v>0</v>
      </c>
      <c r="J121" s="33"/>
    </row>
    <row r="122" spans="1:10" s="4" customFormat="1">
      <c r="A122" s="33" t="s">
        <v>634</v>
      </c>
      <c r="B122" s="33"/>
      <c r="C122" s="93" t="s">
        <v>635</v>
      </c>
      <c r="D122" s="33"/>
      <c r="E122" s="47">
        <v>0</v>
      </c>
      <c r="F122" s="47">
        <v>0</v>
      </c>
      <c r="G122" s="161">
        <v>2930.3</v>
      </c>
      <c r="H122" s="47">
        <v>2930.3</v>
      </c>
      <c r="I122" s="47">
        <v>0</v>
      </c>
      <c r="J122" s="33"/>
    </row>
    <row r="123" spans="1:10" s="4" customFormat="1">
      <c r="A123" s="33" t="s">
        <v>640</v>
      </c>
      <c r="B123" s="33"/>
      <c r="C123" s="93" t="s">
        <v>641</v>
      </c>
      <c r="D123" s="33"/>
      <c r="E123" s="47">
        <v>43890</v>
      </c>
      <c r="F123" s="47">
        <v>0</v>
      </c>
      <c r="G123" s="161">
        <v>19545</v>
      </c>
      <c r="H123" s="47">
        <v>19545</v>
      </c>
      <c r="I123" s="47">
        <v>20000</v>
      </c>
      <c r="J123" s="33"/>
    </row>
    <row r="124" spans="1:10" s="3" customFormat="1" ht="15.75" thickBot="1">
      <c r="A124" s="18"/>
      <c r="B124" s="18"/>
      <c r="C124" s="18" t="s">
        <v>966</v>
      </c>
      <c r="D124" s="18"/>
      <c r="E124" s="99">
        <f t="shared" ref="E124:I124" si="13">SUM(E115:E123)</f>
        <v>364348</v>
      </c>
      <c r="F124" s="99">
        <f t="shared" si="13"/>
        <v>0</v>
      </c>
      <c r="G124" s="99">
        <f>SUM(G115:G123)</f>
        <v>285574.89999999997</v>
      </c>
      <c r="H124" s="99">
        <f t="shared" si="13"/>
        <v>285575.3</v>
      </c>
      <c r="I124" s="99">
        <f t="shared" si="13"/>
        <v>287434</v>
      </c>
      <c r="J124" s="18"/>
    </row>
    <row r="125" spans="1:10" ht="15.75" thickTop="1">
      <c r="E125" s="101"/>
      <c r="F125" s="101"/>
      <c r="G125" s="101"/>
      <c r="H125" s="101"/>
      <c r="I125" s="101"/>
      <c r="J125" s="29"/>
    </row>
    <row r="126" spans="1:10" s="3" customFormat="1" ht="15.75" thickBot="1">
      <c r="A126" s="255" t="s">
        <v>1068</v>
      </c>
      <c r="B126" s="255"/>
      <c r="C126" s="255"/>
      <c r="D126" s="18"/>
      <c r="E126" s="99">
        <f>E49+E54+E72+E83+E88+E100+E106+E112+E124</f>
        <v>1113998</v>
      </c>
      <c r="F126" s="99">
        <f>F49+F54+F72+F83+F88+F100+F106+F112+F124</f>
        <v>0</v>
      </c>
      <c r="G126" s="99">
        <f>G49+G54+G72+G83+G88+G100+G106+G112+G124</f>
        <v>884767.5</v>
      </c>
      <c r="H126" s="99">
        <f>H49+H54+H72+H83+H88+H100+H106+H112+H124</f>
        <v>927340.54454545444</v>
      </c>
      <c r="I126" s="99">
        <f>I49+I54+I72+I83+I88+I100+I106+I112+I124</f>
        <v>1025150.75</v>
      </c>
      <c r="J126" s="18"/>
    </row>
    <row r="127" spans="1:10" ht="15.75" thickTop="1"/>
  </sheetData>
  <mergeCells count="5">
    <mergeCell ref="A6:I6"/>
    <mergeCell ref="A31:C31"/>
    <mergeCell ref="A35:I35"/>
    <mergeCell ref="A126:C126"/>
    <mergeCell ref="A1:J1"/>
  </mergeCells>
  <printOptions horizontalCentered="1"/>
  <pageMargins left="0.7" right="0.7" top="0.75" bottom="0.75" header="0.3" footer="0.3"/>
  <pageSetup scale="66" fitToHeight="0" orientation="landscape" r:id="rId1"/>
  <headerFooter>
    <oddFooter>&amp;L&amp;D&amp;CWorksheet
Page &amp;P&amp;R&amp;T</oddFooter>
  </headerFooter>
  <rowBreaks count="3" manualBreakCount="3">
    <brk id="34" max="16383" man="1"/>
    <brk id="73" max="16383" man="1"/>
    <brk id="1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7"/>
  <sheetViews>
    <sheetView topLeftCell="A4" workbookViewId="0">
      <selection activeCell="G53" sqref="G53"/>
    </sheetView>
  </sheetViews>
  <sheetFormatPr defaultRowHeight="15"/>
  <cols>
    <col min="1" max="1" width="40.7109375" style="33" customWidth="1"/>
    <col min="2" max="5" width="15.7109375" style="114" customWidth="1"/>
    <col min="6" max="6" width="15.7109375" style="114" hidden="1" customWidth="1"/>
    <col min="7" max="7" width="15.7109375" style="114" customWidth="1"/>
    <col min="8" max="8" width="12.140625" style="129" bestFit="1" customWidth="1"/>
    <col min="9" max="9" width="9.140625" style="129"/>
    <col min="10" max="10" width="9.5703125" style="129" bestFit="1" customWidth="1"/>
    <col min="11" max="12" width="9.140625" style="129"/>
  </cols>
  <sheetData>
    <row r="1" spans="1:7">
      <c r="A1" s="253" t="s">
        <v>34</v>
      </c>
      <c r="B1" s="253"/>
      <c r="C1" s="253"/>
      <c r="D1" s="253"/>
      <c r="E1" s="253"/>
      <c r="F1" s="253"/>
      <c r="G1" s="253"/>
    </row>
    <row r="2" spans="1:7">
      <c r="A2" s="253" t="s">
        <v>714</v>
      </c>
      <c r="B2" s="253"/>
      <c r="C2" s="253"/>
      <c r="D2" s="253"/>
      <c r="E2" s="253"/>
      <c r="F2" s="253"/>
      <c r="G2" s="253"/>
    </row>
    <row r="3" spans="1:7" ht="7.5" customHeight="1">
      <c r="A3" s="108" t="s">
        <v>6</v>
      </c>
      <c r="B3" s="109" t="s">
        <v>6</v>
      </c>
      <c r="C3" s="109" t="s">
        <v>6</v>
      </c>
      <c r="D3" s="109"/>
      <c r="E3" s="109" t="s">
        <v>6</v>
      </c>
      <c r="F3" s="109" t="s">
        <v>6</v>
      </c>
      <c r="G3" s="109" t="s">
        <v>6</v>
      </c>
    </row>
    <row r="4" spans="1:7">
      <c r="A4" s="61"/>
      <c r="B4" s="63">
        <v>2018</v>
      </c>
      <c r="C4" s="63">
        <v>2019</v>
      </c>
      <c r="D4" s="63">
        <v>2019</v>
      </c>
      <c r="E4" s="51">
        <v>2019</v>
      </c>
      <c r="F4" s="51">
        <v>2019</v>
      </c>
      <c r="G4" s="64" t="s">
        <v>839</v>
      </c>
    </row>
    <row r="5" spans="1:7">
      <c r="A5" s="105" t="s">
        <v>864</v>
      </c>
      <c r="B5" s="66" t="s">
        <v>823</v>
      </c>
      <c r="C5" s="66" t="s">
        <v>862</v>
      </c>
      <c r="D5" s="66" t="s">
        <v>863</v>
      </c>
      <c r="E5" s="66" t="s">
        <v>1147</v>
      </c>
      <c r="F5" s="66" t="s">
        <v>909</v>
      </c>
      <c r="G5" s="67" t="s">
        <v>826</v>
      </c>
    </row>
    <row r="6" spans="1:7">
      <c r="A6" s="61" t="s">
        <v>865</v>
      </c>
      <c r="B6" s="109"/>
      <c r="C6" s="109"/>
      <c r="D6" s="109"/>
      <c r="E6" s="109"/>
      <c r="F6" s="109"/>
      <c r="G6" s="109"/>
    </row>
    <row r="7" spans="1:7">
      <c r="A7" s="93" t="s">
        <v>528</v>
      </c>
      <c r="B7" s="110">
        <v>786398.65</v>
      </c>
      <c r="C7" s="110">
        <f>'Worksheet - Sewer Fund (021)'!E11</f>
        <v>760000</v>
      </c>
      <c r="D7" s="110">
        <f>'Worksheet - Sewer Fund (021)'!F11</f>
        <v>0</v>
      </c>
      <c r="E7" s="110">
        <f>'Worksheet - Sewer Fund (021)'!G11</f>
        <v>788536.67999999993</v>
      </c>
      <c r="F7" s="110">
        <f>'Worksheet - Sewer Fund (021)'!H11</f>
        <v>860221.83272727276</v>
      </c>
      <c r="G7" s="110">
        <f>'Worksheet - Sewer Fund (021)'!I11</f>
        <v>760000</v>
      </c>
    </row>
    <row r="8" spans="1:7">
      <c r="A8" s="93" t="s">
        <v>530</v>
      </c>
      <c r="B8" s="110">
        <v>38.18</v>
      </c>
      <c r="C8" s="110">
        <f>'Worksheet - Sewer Fund (021)'!E15</f>
        <v>15</v>
      </c>
      <c r="D8" s="110">
        <f>'Worksheet - Sewer Fund (021)'!F15</f>
        <v>0</v>
      </c>
      <c r="E8" s="110">
        <f>'Worksheet - Sewer Fund (021)'!G15</f>
        <v>0</v>
      </c>
      <c r="F8" s="110">
        <v>38</v>
      </c>
      <c r="G8" s="110">
        <f>'Worksheet - Sewer Fund (021)'!I15</f>
        <v>50</v>
      </c>
    </row>
    <row r="9" spans="1:7">
      <c r="A9" s="93" t="s">
        <v>531</v>
      </c>
      <c r="B9" s="110">
        <v>3221</v>
      </c>
      <c r="C9" s="110">
        <f>'Worksheet - Sewer Fund (021)'!E19</f>
        <v>1000</v>
      </c>
      <c r="D9" s="110">
        <f>'Worksheet - Sewer Fund (021)'!F19</f>
        <v>0</v>
      </c>
      <c r="E9" s="110">
        <f>'Worksheet - Sewer Fund (021)'!G19</f>
        <v>133.44999999999999</v>
      </c>
      <c r="F9" s="110">
        <f>'Worksheet - Sewer Fund (021)'!H19</f>
        <v>177.93333333333331</v>
      </c>
      <c r="G9" s="110">
        <f>'Worksheet - Sewer Fund (021)'!I19</f>
        <v>0</v>
      </c>
    </row>
    <row r="10" spans="1:7" ht="15.75" thickBot="1">
      <c r="A10" s="108" t="s">
        <v>532</v>
      </c>
      <c r="B10" s="111">
        <f t="shared" ref="B10:G10" si="0">SUM(B7:B9)</f>
        <v>789657.83000000007</v>
      </c>
      <c r="C10" s="111">
        <f t="shared" si="0"/>
        <v>761015</v>
      </c>
      <c r="D10" s="111">
        <f t="shared" si="0"/>
        <v>0</v>
      </c>
      <c r="E10" s="111">
        <f t="shared" si="0"/>
        <v>788670.12999999989</v>
      </c>
      <c r="F10" s="111">
        <f t="shared" si="0"/>
        <v>860437.76606060611</v>
      </c>
      <c r="G10" s="111">
        <f t="shared" si="0"/>
        <v>760050</v>
      </c>
    </row>
    <row r="11" spans="1:7" ht="15.75" thickTop="1">
      <c r="B11" s="110"/>
      <c r="C11" s="110"/>
      <c r="D11" s="110"/>
      <c r="E11" s="110"/>
      <c r="F11" s="110"/>
      <c r="G11" s="110"/>
    </row>
    <row r="12" spans="1:7">
      <c r="B12" s="112" t="s">
        <v>6</v>
      </c>
      <c r="C12" s="112" t="s">
        <v>6</v>
      </c>
      <c r="D12" s="112"/>
      <c r="E12" s="112" t="s">
        <v>6</v>
      </c>
      <c r="F12" s="112" t="s">
        <v>6</v>
      </c>
      <c r="G12" s="112" t="s">
        <v>6</v>
      </c>
    </row>
    <row r="13" spans="1:7">
      <c r="A13" s="108" t="s">
        <v>898</v>
      </c>
      <c r="B13" s="112"/>
      <c r="C13" s="112"/>
      <c r="D13" s="112"/>
      <c r="E13" s="112"/>
      <c r="F13" s="112"/>
      <c r="G13" s="112"/>
    </row>
    <row r="14" spans="1:7">
      <c r="A14" s="93" t="s">
        <v>22</v>
      </c>
      <c r="B14" s="113">
        <f>51736.38+42659.2+1559.07+2894.25+7451.73+29491.09+37700.26</f>
        <v>173491.98</v>
      </c>
      <c r="C14" s="113">
        <f>'Worksheet - Sewer Fund (021)'!E38</f>
        <v>242574</v>
      </c>
      <c r="D14" s="113">
        <f>'Worksheet - Sewer Fund (021)'!F38</f>
        <v>0</v>
      </c>
      <c r="E14" s="113">
        <f>'Worksheet - Sewer Fund (021)'!G38</f>
        <v>223053.26</v>
      </c>
      <c r="F14" s="113">
        <f>'Worksheet - Sewer Fund (021)'!H38</f>
        <v>235026.22198272729</v>
      </c>
      <c r="G14" s="113">
        <f>'Worksheet - Sewer Fund (021)'!I38</f>
        <v>260570.80735999998</v>
      </c>
    </row>
    <row r="15" spans="1:7">
      <c r="A15" s="93" t="s">
        <v>199</v>
      </c>
      <c r="B15" s="113">
        <v>360</v>
      </c>
      <c r="C15" s="113">
        <f>'Worksheet - Sewer Fund (021)'!E42</f>
        <v>1000</v>
      </c>
      <c r="D15" s="113">
        <f>'Worksheet - Sewer Fund (021)'!F42</f>
        <v>0</v>
      </c>
      <c r="E15" s="113">
        <f>'Worksheet - Sewer Fund (021)'!G42</f>
        <v>668.67</v>
      </c>
      <c r="F15" s="113">
        <f>'Worksheet - Sewer Fund (021)'!H42</f>
        <v>729.45818181818174</v>
      </c>
      <c r="G15" s="113">
        <f>'Worksheet - Sewer Fund (021)'!I42</f>
        <v>1000</v>
      </c>
    </row>
    <row r="16" spans="1:7">
      <c r="A16" s="93" t="s">
        <v>202</v>
      </c>
      <c r="B16" s="113">
        <f>10460+10436.55+71072.79+4788.35+25443.11+330+4363.19+36439.75+17461.39</f>
        <v>180795.13</v>
      </c>
      <c r="C16" s="113">
        <f>'Worksheet - Sewer Fund (021)'!E55</f>
        <v>201932</v>
      </c>
      <c r="D16" s="113">
        <f>'Worksheet - Sewer Fund (021)'!F55</f>
        <v>0</v>
      </c>
      <c r="E16" s="113">
        <f>'Worksheet - Sewer Fund (021)'!G55</f>
        <v>186719.27000000002</v>
      </c>
      <c r="F16" s="113">
        <f>'Worksheet - Sewer Fund (021)'!H55</f>
        <v>203693.74909090906</v>
      </c>
      <c r="G16" s="113">
        <f>'Worksheet - Sewer Fund (021)'!I55</f>
        <v>202660</v>
      </c>
    </row>
    <row r="17" spans="1:12">
      <c r="A17" s="93" t="s">
        <v>204</v>
      </c>
      <c r="B17" s="113">
        <f>0+5822.52+1975.28+3665.38+1065.21</f>
        <v>12528.39</v>
      </c>
      <c r="C17" s="113">
        <f>'Worksheet - Sewer Fund (021)'!E63</f>
        <v>19500</v>
      </c>
      <c r="D17" s="113">
        <f>'Worksheet - Sewer Fund (021)'!F63</f>
        <v>0</v>
      </c>
      <c r="E17" s="113">
        <f>'Worksheet - Sewer Fund (021)'!G63</f>
        <v>23735.26</v>
      </c>
      <c r="F17" s="113">
        <f>'Worksheet - Sewer Fund (021)'!H63</f>
        <v>25893.01090909091</v>
      </c>
      <c r="G17" s="113">
        <f>'Worksheet - Sewer Fund (021)'!I63</f>
        <v>22000</v>
      </c>
    </row>
    <row r="18" spans="1:12">
      <c r="A18" s="93" t="s">
        <v>217</v>
      </c>
      <c r="B18" s="113">
        <f>47617.12+46323.54+28.64</f>
        <v>93969.3</v>
      </c>
      <c r="C18" s="113">
        <f>'Worksheet - Sewer Fund (021)'!E69</f>
        <v>71000</v>
      </c>
      <c r="D18" s="113">
        <f>'Worksheet - Sewer Fund (021)'!F69</f>
        <v>0</v>
      </c>
      <c r="E18" s="113">
        <f>'Worksheet - Sewer Fund (021)'!G69</f>
        <v>38669.160000000003</v>
      </c>
      <c r="F18" s="113">
        <f>'Worksheet - Sewer Fund (021)'!H69</f>
        <v>42184.538181818185</v>
      </c>
      <c r="G18" s="113">
        <f>'Worksheet - Sewer Fund (021)'!I69</f>
        <v>45500</v>
      </c>
    </row>
    <row r="19" spans="1:12">
      <c r="A19" s="93" t="s">
        <v>798</v>
      </c>
      <c r="B19" s="113">
        <v>193763.16</v>
      </c>
      <c r="C19" s="113">
        <v>0</v>
      </c>
      <c r="D19" s="113">
        <v>0</v>
      </c>
      <c r="E19" s="113">
        <v>143166.97</v>
      </c>
      <c r="F19" s="113">
        <v>193800</v>
      </c>
      <c r="G19" s="113">
        <v>193800</v>
      </c>
    </row>
    <row r="20" spans="1:12">
      <c r="A20" s="93" t="s">
        <v>24</v>
      </c>
      <c r="B20" s="113">
        <f>23763.71+0</f>
        <v>23763.71</v>
      </c>
      <c r="C20" s="113">
        <f>'Worksheet - Sewer Fund (021)'!E74</f>
        <v>45000</v>
      </c>
      <c r="D20" s="113">
        <f>'Worksheet - Sewer Fund (021)'!F74</f>
        <v>0</v>
      </c>
      <c r="E20" s="113">
        <f>'Worksheet - Sewer Fund (021)'!G74</f>
        <v>87221.38</v>
      </c>
      <c r="F20" s="113">
        <f>'Worksheet - Sewer Fund (021)'!H74</f>
        <v>110000</v>
      </c>
      <c r="G20" s="113">
        <f>'Worksheet - Sewer Fund (021)'!I74</f>
        <v>110000</v>
      </c>
    </row>
    <row r="21" spans="1:12">
      <c r="A21" s="95" t="s">
        <v>30</v>
      </c>
      <c r="B21" s="113">
        <f>3457.53+0+0+451.59+132409</f>
        <v>136318.12</v>
      </c>
      <c r="C21" s="113">
        <f>'Worksheet - Sewer Fund (021)'!E81</f>
        <v>130221</v>
      </c>
      <c r="D21" s="113">
        <f>'Worksheet - Sewer Fund (021)'!F81</f>
        <v>0</v>
      </c>
      <c r="E21" s="113">
        <f>'Worksheet - Sewer Fund (021)'!G81</f>
        <v>130084</v>
      </c>
      <c r="F21" s="113">
        <f>'Worksheet - Sewer Fund (021)'!H81</f>
        <v>130083.84</v>
      </c>
      <c r="G21" s="113">
        <f>'Worksheet - Sewer Fund (021)'!I81</f>
        <v>121446</v>
      </c>
    </row>
    <row r="22" spans="1:12" ht="15.75" thickBot="1">
      <c r="A22" s="108" t="s">
        <v>2</v>
      </c>
      <c r="B22" s="111">
        <f t="shared" ref="B22:G22" si="1">SUM(B14:B21)</f>
        <v>814989.78999999992</v>
      </c>
      <c r="C22" s="111">
        <f t="shared" si="1"/>
        <v>711227</v>
      </c>
      <c r="D22" s="111">
        <f t="shared" si="1"/>
        <v>0</v>
      </c>
      <c r="E22" s="111">
        <f t="shared" si="1"/>
        <v>833317.97000000009</v>
      </c>
      <c r="F22" s="111">
        <f t="shared" si="1"/>
        <v>941410.81834636361</v>
      </c>
      <c r="G22" s="111">
        <f t="shared" si="1"/>
        <v>956976.80735999998</v>
      </c>
      <c r="J22" s="130"/>
    </row>
    <row r="23" spans="1:12" ht="15.75" thickTop="1">
      <c r="B23" s="110"/>
      <c r="C23" s="110"/>
      <c r="D23" s="110"/>
      <c r="E23" s="110"/>
      <c r="F23" s="110"/>
      <c r="G23" s="110"/>
    </row>
    <row r="25" spans="1:12" s="3" customFormat="1" ht="35.1" customHeight="1" thickBot="1">
      <c r="A25" s="90" t="s">
        <v>867</v>
      </c>
      <c r="B25" s="132">
        <f t="shared" ref="B25:G25" si="2">B10-B22</f>
        <v>-25331.959999999846</v>
      </c>
      <c r="C25" s="132">
        <f t="shared" si="2"/>
        <v>49788</v>
      </c>
      <c r="D25" s="132">
        <f t="shared" si="2"/>
        <v>0</v>
      </c>
      <c r="E25" s="132">
        <f t="shared" si="2"/>
        <v>-44647.8400000002</v>
      </c>
      <c r="F25" s="132">
        <f t="shared" si="2"/>
        <v>-80973.052285757498</v>
      </c>
      <c r="G25" s="132">
        <f t="shared" si="2"/>
        <v>-196926.80735999998</v>
      </c>
      <c r="H25" s="131"/>
      <c r="I25" s="131"/>
      <c r="J25" s="131"/>
      <c r="K25" s="131"/>
      <c r="L25" s="131"/>
    </row>
    <row r="26" spans="1:12" ht="15.75" thickTop="1">
      <c r="A26" s="29"/>
      <c r="B26" s="115"/>
      <c r="C26" s="115"/>
      <c r="D26" s="115"/>
      <c r="E26" s="115"/>
      <c r="F26" s="115"/>
      <c r="G26" s="115"/>
    </row>
    <row r="27" spans="1:12">
      <c r="A27" s="18" t="s">
        <v>868</v>
      </c>
      <c r="B27" s="115"/>
      <c r="C27" s="115"/>
      <c r="D27" s="115"/>
      <c r="E27" s="115"/>
      <c r="F27" s="115"/>
      <c r="G27" s="115"/>
    </row>
    <row r="28" spans="1:12">
      <c r="A28" s="95" t="s">
        <v>3</v>
      </c>
      <c r="B28" s="110">
        <v>0</v>
      </c>
      <c r="C28" s="110">
        <v>0</v>
      </c>
      <c r="D28" s="110">
        <v>0</v>
      </c>
      <c r="E28" s="110">
        <v>0</v>
      </c>
      <c r="F28" s="110">
        <v>0</v>
      </c>
      <c r="G28" s="110">
        <v>0</v>
      </c>
    </row>
    <row r="29" spans="1:12">
      <c r="A29" s="95" t="s">
        <v>4</v>
      </c>
      <c r="B29" s="114">
        <v>10029</v>
      </c>
      <c r="C29" s="114">
        <v>0</v>
      </c>
      <c r="D29" s="114">
        <v>0</v>
      </c>
      <c r="E29" s="114">
        <v>0</v>
      </c>
      <c r="F29" s="114">
        <v>0</v>
      </c>
      <c r="G29" s="114">
        <v>0</v>
      </c>
    </row>
    <row r="30" spans="1:12">
      <c r="A30" s="95" t="s">
        <v>26</v>
      </c>
      <c r="B30" s="110"/>
      <c r="C30" s="110">
        <v>0</v>
      </c>
      <c r="D30" s="110">
        <v>0</v>
      </c>
      <c r="E30" s="110">
        <f>' Summary - General Fund'!E281</f>
        <v>0</v>
      </c>
      <c r="F30" s="110">
        <v>0</v>
      </c>
      <c r="G30" s="110">
        <f>' Summary - General Fund'!F281</f>
        <v>0</v>
      </c>
    </row>
    <row r="31" spans="1:12">
      <c r="A31" s="93" t="s">
        <v>1092</v>
      </c>
      <c r="B31" s="113">
        <v>-75000</v>
      </c>
      <c r="C31" s="113">
        <v>0</v>
      </c>
      <c r="D31" s="113">
        <v>0</v>
      </c>
      <c r="E31" s="113">
        <v>5860.62</v>
      </c>
      <c r="F31" s="113">
        <v>5861</v>
      </c>
      <c r="G31" s="113">
        <v>0</v>
      </c>
      <c r="H31" s="247"/>
    </row>
    <row r="32" spans="1:12" s="3" customFormat="1" ht="15.75" thickBot="1">
      <c r="A32" s="18" t="s">
        <v>869</v>
      </c>
      <c r="B32" s="111">
        <f t="shared" ref="B32:G32" si="3">SUM(B28:B31)</f>
        <v>-64971</v>
      </c>
      <c r="C32" s="111">
        <f t="shared" si="3"/>
        <v>0</v>
      </c>
      <c r="D32" s="111">
        <f t="shared" si="3"/>
        <v>0</v>
      </c>
      <c r="E32" s="111">
        <f t="shared" si="3"/>
        <v>5860.62</v>
      </c>
      <c r="F32" s="111">
        <f t="shared" si="3"/>
        <v>5861</v>
      </c>
      <c r="G32" s="111">
        <f t="shared" si="3"/>
        <v>0</v>
      </c>
      <c r="H32" s="131"/>
      <c r="I32" s="131"/>
      <c r="J32" s="131"/>
      <c r="K32" s="131"/>
      <c r="L32" s="131"/>
    </row>
    <row r="33" spans="1:12" ht="15.75" thickTop="1">
      <c r="A33" s="29"/>
      <c r="B33" s="115"/>
      <c r="C33" s="115"/>
      <c r="D33" s="115"/>
      <c r="E33" s="115"/>
      <c r="F33" s="115"/>
      <c r="G33" s="115"/>
    </row>
    <row r="34" spans="1:12" s="3" customFormat="1" ht="50.1" customHeight="1">
      <c r="A34" s="90" t="s">
        <v>871</v>
      </c>
      <c r="B34" s="137">
        <f>B25+B32</f>
        <v>-90302.959999999846</v>
      </c>
      <c r="C34" s="137">
        <f t="shared" ref="C34:G34" si="4">C25+C32</f>
        <v>49788</v>
      </c>
      <c r="D34" s="137">
        <f t="shared" si="4"/>
        <v>0</v>
      </c>
      <c r="E34" s="137">
        <f>E25+E32</f>
        <v>-38787.220000000198</v>
      </c>
      <c r="F34" s="137">
        <f t="shared" si="4"/>
        <v>-75112.052285757498</v>
      </c>
      <c r="G34" s="137">
        <f t="shared" si="4"/>
        <v>-196926.80735999998</v>
      </c>
      <c r="H34" s="131"/>
      <c r="I34" s="131"/>
      <c r="J34" s="131"/>
      <c r="K34" s="131"/>
      <c r="L34" s="131"/>
    </row>
    <row r="35" spans="1:12">
      <c r="A35" s="173" t="s">
        <v>935</v>
      </c>
      <c r="B35" s="166">
        <v>132409</v>
      </c>
      <c r="C35" s="166">
        <v>126733</v>
      </c>
      <c r="D35" s="166">
        <f t="shared" ref="D35" si="5">D25+D32</f>
        <v>0</v>
      </c>
      <c r="E35" s="166">
        <v>126580</v>
      </c>
      <c r="F35" s="166">
        <v>126733</v>
      </c>
      <c r="G35" s="166">
        <v>118361</v>
      </c>
      <c r="H35"/>
      <c r="I35"/>
      <c r="J35"/>
      <c r="K35"/>
      <c r="L35"/>
    </row>
    <row r="36" spans="1:12" ht="15.75" thickBot="1">
      <c r="A36" s="90"/>
      <c r="B36" s="111">
        <f>SUM(B34:B35)</f>
        <v>42106.040000000154</v>
      </c>
      <c r="C36" s="111">
        <f t="shared" ref="C36:G36" si="6">SUM(C34:C35)</f>
        <v>176521</v>
      </c>
      <c r="D36" s="111">
        <f t="shared" si="6"/>
        <v>0</v>
      </c>
      <c r="E36" s="111">
        <f t="shared" si="6"/>
        <v>87792.779999999795</v>
      </c>
      <c r="F36" s="111">
        <f t="shared" si="6"/>
        <v>51620.947714242502</v>
      </c>
      <c r="G36" s="111">
        <f t="shared" si="6"/>
        <v>-78565.807359999977</v>
      </c>
      <c r="H36"/>
      <c r="I36"/>
      <c r="J36"/>
      <c r="K36"/>
      <c r="L36"/>
    </row>
    <row r="37" spans="1:12" ht="15.75" thickTop="1">
      <c r="A37" s="29"/>
      <c r="B37" s="115"/>
      <c r="C37" s="115"/>
      <c r="D37" s="115"/>
      <c r="E37" s="115"/>
      <c r="F37" s="115"/>
      <c r="G37" s="115"/>
    </row>
    <row r="38" spans="1:12">
      <c r="A38" s="95" t="s">
        <v>7</v>
      </c>
      <c r="B38" s="110">
        <v>2305862</v>
      </c>
      <c r="C38" s="110">
        <f>B39</f>
        <v>2347968.04</v>
      </c>
      <c r="D38" s="110">
        <v>0</v>
      </c>
      <c r="E38" s="110">
        <f>B39</f>
        <v>2347968.04</v>
      </c>
      <c r="F38" s="110">
        <f>B39</f>
        <v>2347968.04</v>
      </c>
      <c r="G38" s="110">
        <f>E39</f>
        <v>2435760.8199999998</v>
      </c>
    </row>
    <row r="39" spans="1:12" ht="15.75" thickBot="1">
      <c r="A39" s="87" t="s">
        <v>873</v>
      </c>
      <c r="B39" s="111">
        <f>B38+B36</f>
        <v>2347968.04</v>
      </c>
      <c r="C39" s="111">
        <f t="shared" ref="C39:G39" si="7">C38+C36</f>
        <v>2524489.04</v>
      </c>
      <c r="D39" s="111">
        <f t="shared" si="7"/>
        <v>0</v>
      </c>
      <c r="E39" s="111">
        <f t="shared" si="7"/>
        <v>2435760.8199999998</v>
      </c>
      <c r="F39" s="111">
        <f t="shared" si="7"/>
        <v>2399588.9877142427</v>
      </c>
      <c r="G39" s="111">
        <f t="shared" si="7"/>
        <v>2357195.0126399999</v>
      </c>
    </row>
    <row r="40" spans="1:12" ht="15.75" thickTop="1">
      <c r="A40" s="29"/>
      <c r="B40" s="115"/>
      <c r="C40" s="115"/>
      <c r="D40" s="115"/>
      <c r="E40" s="115"/>
      <c r="F40" s="115"/>
      <c r="G40" s="115"/>
    </row>
    <row r="41" spans="1:12">
      <c r="A41" s="29"/>
      <c r="B41" s="115"/>
      <c r="C41" s="115"/>
      <c r="D41" s="115"/>
      <c r="E41" s="115"/>
      <c r="F41" s="115"/>
      <c r="G41" s="115"/>
    </row>
    <row r="42" spans="1:12">
      <c r="A42" s="29"/>
      <c r="B42" s="115"/>
      <c r="C42" s="115"/>
      <c r="D42" s="115"/>
      <c r="E42" s="115"/>
      <c r="F42" s="115"/>
      <c r="G42" s="115"/>
    </row>
    <row r="43" spans="1:12">
      <c r="A43" s="87" t="s">
        <v>874</v>
      </c>
      <c r="B43" s="115"/>
      <c r="C43" s="115"/>
      <c r="D43" s="115"/>
      <c r="E43" s="115"/>
      <c r="F43" s="115"/>
      <c r="G43" s="115"/>
    </row>
    <row r="44" spans="1:12">
      <c r="A44" s="87"/>
      <c r="B44" s="115"/>
      <c r="C44" s="115"/>
      <c r="D44" s="115"/>
      <c r="E44" s="115"/>
      <c r="F44" s="115"/>
      <c r="G44" s="115"/>
    </row>
    <row r="45" spans="1:12">
      <c r="A45" s="87" t="s">
        <v>875</v>
      </c>
      <c r="B45" s="110" t="s">
        <v>6</v>
      </c>
      <c r="C45" s="110" t="s">
        <v>6</v>
      </c>
      <c r="D45" s="110"/>
      <c r="E45" s="110" t="s">
        <v>6</v>
      </c>
      <c r="F45" s="110" t="s">
        <v>6</v>
      </c>
      <c r="G45" s="110" t="s">
        <v>6</v>
      </c>
    </row>
    <row r="46" spans="1:12">
      <c r="A46" s="95" t="s">
        <v>741</v>
      </c>
      <c r="B46" s="110">
        <v>0</v>
      </c>
      <c r="C46" s="110">
        <v>0</v>
      </c>
      <c r="D46" s="110">
        <v>0</v>
      </c>
      <c r="E46" s="110">
        <v>0</v>
      </c>
      <c r="F46" s="110">
        <v>0</v>
      </c>
      <c r="G46" s="110">
        <v>0</v>
      </c>
    </row>
    <row r="47" spans="1:12">
      <c r="A47" s="95" t="s">
        <v>637</v>
      </c>
      <c r="B47" s="110">
        <v>0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</row>
    <row r="48" spans="1:12">
      <c r="A48" s="95" t="s">
        <v>8</v>
      </c>
      <c r="B48" s="110">
        <v>0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</row>
    <row r="49" spans="1:7">
      <c r="A49" s="95" t="s">
        <v>9</v>
      </c>
      <c r="B49" s="110">
        <v>0</v>
      </c>
      <c r="C49" s="110">
        <v>0</v>
      </c>
      <c r="D49" s="110">
        <v>0</v>
      </c>
      <c r="E49" s="110">
        <v>0</v>
      </c>
      <c r="F49" s="110">
        <v>0</v>
      </c>
      <c r="G49" s="110">
        <v>0</v>
      </c>
    </row>
    <row r="50" spans="1:7">
      <c r="A50" s="95" t="s">
        <v>324</v>
      </c>
      <c r="B50" s="110">
        <v>0</v>
      </c>
      <c r="C50" s="110">
        <v>0</v>
      </c>
      <c r="D50" s="110">
        <v>0</v>
      </c>
      <c r="E50" s="110">
        <v>0</v>
      </c>
      <c r="F50" s="110">
        <v>0</v>
      </c>
      <c r="G50" s="110">
        <v>0</v>
      </c>
    </row>
    <row r="51" spans="1:7">
      <c r="A51" s="95" t="s">
        <v>638</v>
      </c>
      <c r="B51" s="110">
        <v>0</v>
      </c>
      <c r="C51" s="110">
        <v>0</v>
      </c>
      <c r="D51" s="110">
        <v>0</v>
      </c>
      <c r="E51" s="110">
        <v>0</v>
      </c>
      <c r="F51" s="110">
        <v>0</v>
      </c>
      <c r="G51" s="110">
        <v>0</v>
      </c>
    </row>
    <row r="52" spans="1:7">
      <c r="A52" s="95" t="s">
        <v>803</v>
      </c>
      <c r="B52" s="110">
        <v>0</v>
      </c>
      <c r="C52" s="110">
        <v>78904</v>
      </c>
      <c r="D52" s="110">
        <f>D10*0.1</f>
        <v>0</v>
      </c>
      <c r="E52" s="110">
        <f>E10*0.1</f>
        <v>78867.012999999992</v>
      </c>
      <c r="F52" s="110">
        <f>F10*0.1</f>
        <v>86043.776606060623</v>
      </c>
      <c r="G52" s="110">
        <f>G10*0.1</f>
        <v>76005</v>
      </c>
    </row>
    <row r="53" spans="1:7" ht="15.75" thickBot="1">
      <c r="A53" s="87" t="s">
        <v>876</v>
      </c>
      <c r="B53" s="111">
        <f>SUM(B45:B52)</f>
        <v>0</v>
      </c>
      <c r="C53" s="111">
        <f>SUM(C45:C52)</f>
        <v>78904</v>
      </c>
      <c r="D53" s="111"/>
      <c r="E53" s="111">
        <f>SUM(E45:E52)</f>
        <v>78867.012999999992</v>
      </c>
      <c r="F53" s="111">
        <f>SUM(F45:F52)</f>
        <v>86043.776606060623</v>
      </c>
      <c r="G53" s="111">
        <f>SUM(G45:G52)</f>
        <v>76005</v>
      </c>
    </row>
    <row r="54" spans="1:7" ht="15.75" thickTop="1">
      <c r="A54" s="87"/>
      <c r="B54" s="136"/>
      <c r="C54" s="136"/>
      <c r="D54" s="136"/>
      <c r="E54" s="136"/>
      <c r="F54" s="136"/>
      <c r="G54" s="136"/>
    </row>
    <row r="55" spans="1:7" ht="15.75" thickBot="1">
      <c r="A55" s="87" t="s">
        <v>877</v>
      </c>
      <c r="B55" s="133">
        <f>B39-B53</f>
        <v>2347968.04</v>
      </c>
      <c r="C55" s="133">
        <f>C39-C53</f>
        <v>2445585.04</v>
      </c>
      <c r="D55" s="133">
        <f t="shared" ref="D55:E55" si="8">D39-D53</f>
        <v>0</v>
      </c>
      <c r="E55" s="133">
        <f t="shared" si="8"/>
        <v>2356893.807</v>
      </c>
      <c r="F55" s="133">
        <f>F39-F53</f>
        <v>2313545.2111081821</v>
      </c>
      <c r="G55" s="133">
        <f>G39-G53</f>
        <v>2281190.0126399999</v>
      </c>
    </row>
    <row r="56" spans="1:7" ht="15.75" thickTop="1">
      <c r="A56" s="29"/>
      <c r="B56" s="29"/>
      <c r="C56" s="29"/>
      <c r="D56" s="29"/>
      <c r="E56" s="29"/>
      <c r="F56" s="29"/>
      <c r="G56" s="29"/>
    </row>
    <row r="57" spans="1:7">
      <c r="A57" s="116" t="s">
        <v>31</v>
      </c>
      <c r="B57" s="89">
        <f t="shared" ref="B57:G57" si="9">(B55/B10)</f>
        <v>2.9733993013151023</v>
      </c>
      <c r="C57" s="89">
        <f t="shared" si="9"/>
        <v>3.2135832276630554</v>
      </c>
      <c r="D57" s="89" t="e">
        <f t="shared" si="9"/>
        <v>#DIV/0!</v>
      </c>
      <c r="E57" s="89">
        <f t="shared" si="9"/>
        <v>2.9884405625961774</v>
      </c>
      <c r="F57" s="89">
        <f t="shared" si="9"/>
        <v>2.6888001693607952</v>
      </c>
      <c r="G57" s="89">
        <f t="shared" si="9"/>
        <v>3.0013683476613378</v>
      </c>
    </row>
  </sheetData>
  <mergeCells count="2">
    <mergeCell ref="A1:G1"/>
    <mergeCell ref="A2:G2"/>
  </mergeCells>
  <pageMargins left="0.75" right="0.75" top="0.5" bottom="1" header="0.3" footer="0.3"/>
  <pageSetup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84"/>
  <sheetViews>
    <sheetView workbookViewId="0">
      <pane ySplit="4" topLeftCell="A5" activePane="bottomLeft" state="frozen"/>
      <selection pane="bottomLeft" activeCell="I60" sqref="I60"/>
    </sheetView>
  </sheetViews>
  <sheetFormatPr defaultRowHeight="15"/>
  <cols>
    <col min="1" max="1" width="10.7109375" style="29" customWidth="1"/>
    <col min="2" max="2" width="5.7109375" style="29" customWidth="1"/>
    <col min="3" max="3" width="35.7109375" style="29" customWidth="1"/>
    <col min="4" max="4" width="5.7109375" style="29" customWidth="1"/>
    <col min="5" max="7" width="15.7109375" style="31" customWidth="1"/>
    <col min="8" max="8" width="15.7109375" style="31" hidden="1" customWidth="1"/>
    <col min="9" max="9" width="15.7109375" style="31" customWidth="1"/>
    <col min="10" max="10" width="30.85546875" style="31" hidden="1" customWidth="1"/>
  </cols>
  <sheetData>
    <row r="1" spans="1:10">
      <c r="A1" s="251" t="s">
        <v>890</v>
      </c>
      <c r="B1" s="251"/>
      <c r="C1" s="251"/>
      <c r="D1" s="251"/>
      <c r="E1" s="251"/>
      <c r="F1" s="251"/>
      <c r="G1" s="251"/>
      <c r="H1" s="251"/>
      <c r="I1" s="251"/>
    </row>
    <row r="2" spans="1:10">
      <c r="A2" s="107"/>
      <c r="B2" s="107"/>
      <c r="C2" s="107"/>
      <c r="D2" s="107"/>
      <c r="E2" s="107"/>
      <c r="F2" s="107"/>
      <c r="G2" s="107"/>
      <c r="H2" s="107"/>
      <c r="I2" s="107"/>
    </row>
    <row r="3" spans="1:10">
      <c r="E3" s="63">
        <v>2019</v>
      </c>
      <c r="F3" s="63">
        <v>2019</v>
      </c>
      <c r="G3" s="51">
        <v>2019</v>
      </c>
      <c r="H3" s="51">
        <v>2019</v>
      </c>
      <c r="I3" s="64" t="s">
        <v>839</v>
      </c>
      <c r="J3" s="52" t="s">
        <v>887</v>
      </c>
    </row>
    <row r="4" spans="1:10">
      <c r="E4" s="66" t="s">
        <v>862</v>
      </c>
      <c r="F4" s="66" t="s">
        <v>863</v>
      </c>
      <c r="G4" s="66" t="s">
        <v>1147</v>
      </c>
      <c r="H4" s="66" t="s">
        <v>909</v>
      </c>
      <c r="I4" s="67" t="s">
        <v>826</v>
      </c>
      <c r="J4" s="18"/>
    </row>
    <row r="5" spans="1:10">
      <c r="A5" s="19"/>
      <c r="B5" s="19"/>
      <c r="C5" s="19"/>
      <c r="D5" s="20"/>
      <c r="E5" s="20"/>
      <c r="F5" s="20"/>
      <c r="G5" s="20"/>
      <c r="H5" s="29"/>
      <c r="I5" s="29"/>
      <c r="J5" s="29"/>
    </row>
    <row r="6" spans="1:10">
      <c r="A6" s="251" t="s">
        <v>883</v>
      </c>
      <c r="B6" s="251"/>
      <c r="C6" s="251"/>
      <c r="D6" s="251"/>
      <c r="E6" s="251"/>
      <c r="F6" s="251"/>
      <c r="G6" s="251"/>
      <c r="H6" s="251"/>
      <c r="I6" s="29"/>
      <c r="J6" s="29"/>
    </row>
    <row r="7" spans="1:10">
      <c r="A7" s="107"/>
      <c r="B7" s="107"/>
      <c r="C7" s="107"/>
      <c r="D7" s="107"/>
      <c r="E7" s="107"/>
      <c r="F7" s="107"/>
      <c r="G7" s="107"/>
      <c r="H7" s="107"/>
      <c r="I7" s="29"/>
      <c r="J7" s="29"/>
    </row>
    <row r="8" spans="1:10">
      <c r="A8" s="107"/>
      <c r="B8" s="107"/>
      <c r="C8" s="107" t="s">
        <v>528</v>
      </c>
      <c r="D8" s="107"/>
      <c r="E8" s="107"/>
      <c r="F8" s="107"/>
      <c r="G8" s="107"/>
      <c r="H8" s="107"/>
      <c r="I8" s="29"/>
      <c r="J8" s="29"/>
    </row>
    <row r="9" spans="1:10">
      <c r="A9" s="29" t="s">
        <v>716</v>
      </c>
      <c r="C9" s="95" t="s">
        <v>715</v>
      </c>
      <c r="E9" s="30">
        <v>650000</v>
      </c>
      <c r="F9" s="30">
        <v>0</v>
      </c>
      <c r="G9" s="30">
        <v>681156.84</v>
      </c>
      <c r="H9" s="30">
        <f>(G9/11)*12</f>
        <v>743080.18909090909</v>
      </c>
      <c r="I9" s="30">
        <v>650000</v>
      </c>
      <c r="J9" s="29"/>
    </row>
    <row r="10" spans="1:10">
      <c r="A10" s="29" t="s">
        <v>717</v>
      </c>
      <c r="C10" s="95" t="s">
        <v>718</v>
      </c>
      <c r="E10" s="30">
        <v>110000</v>
      </c>
      <c r="F10" s="30">
        <v>0</v>
      </c>
      <c r="G10" s="30">
        <v>107379.84</v>
      </c>
      <c r="H10" s="30">
        <f>(G10/11)*12</f>
        <v>117141.64363636365</v>
      </c>
      <c r="I10" s="30">
        <v>110000</v>
      </c>
      <c r="J10" s="29"/>
    </row>
    <row r="11" spans="1:10" s="3" customFormat="1" ht="15.75" thickBot="1">
      <c r="A11" s="18"/>
      <c r="B11" s="18"/>
      <c r="C11" s="18" t="s">
        <v>1063</v>
      </c>
      <c r="D11" s="18"/>
      <c r="E11" s="99">
        <f>SUM(E9:E10)</f>
        <v>760000</v>
      </c>
      <c r="F11" s="99">
        <f>SUM(F9:F10)</f>
        <v>0</v>
      </c>
      <c r="G11" s="99">
        <f>SUM(G9:G10)</f>
        <v>788536.67999999993</v>
      </c>
      <c r="H11" s="99">
        <f>SUM(H9:H10)</f>
        <v>860221.83272727276</v>
      </c>
      <c r="I11" s="99">
        <f>SUM(I9:I10)</f>
        <v>760000</v>
      </c>
      <c r="J11" s="18"/>
    </row>
    <row r="12" spans="1:10" ht="15.75" thickTop="1">
      <c r="E12" s="98"/>
      <c r="F12" s="98"/>
      <c r="G12" s="98"/>
      <c r="H12" s="98"/>
      <c r="I12" s="98"/>
      <c r="J12" s="29"/>
    </row>
    <row r="13" spans="1:10">
      <c r="C13" s="18" t="s">
        <v>886</v>
      </c>
      <c r="E13" s="98"/>
      <c r="F13" s="98"/>
      <c r="G13" s="98"/>
      <c r="H13" s="98"/>
      <c r="I13" s="98"/>
      <c r="J13" s="29"/>
    </row>
    <row r="14" spans="1:10">
      <c r="A14" s="29" t="s">
        <v>549</v>
      </c>
      <c r="C14" s="95" t="s">
        <v>719</v>
      </c>
      <c r="E14" s="30">
        <v>15</v>
      </c>
      <c r="F14" s="30">
        <v>0</v>
      </c>
      <c r="G14" s="30">
        <v>0</v>
      </c>
      <c r="H14" s="30">
        <v>0</v>
      </c>
      <c r="I14" s="30">
        <v>50</v>
      </c>
      <c r="J14" s="29"/>
    </row>
    <row r="15" spans="1:10" s="3" customFormat="1" ht="15.75" thickBot="1">
      <c r="A15" s="18"/>
      <c r="B15" s="18"/>
      <c r="C15" s="18" t="s">
        <v>1065</v>
      </c>
      <c r="D15" s="18"/>
      <c r="E15" s="99">
        <f>SUM(E14:E14)</f>
        <v>15</v>
      </c>
      <c r="F15" s="99">
        <f>SUM(F14:F14)</f>
        <v>0</v>
      </c>
      <c r="G15" s="99">
        <f>SUM(G14:G14)</f>
        <v>0</v>
      </c>
      <c r="H15" s="99">
        <f>SUM(H14:H14)</f>
        <v>0</v>
      </c>
      <c r="I15" s="99">
        <f>SUM(I14:I14)</f>
        <v>50</v>
      </c>
      <c r="J15" s="18"/>
    </row>
    <row r="16" spans="1:10" ht="15.75" thickTop="1">
      <c r="E16" s="98"/>
      <c r="F16" s="98"/>
      <c r="G16" s="98"/>
      <c r="H16" s="98"/>
      <c r="I16" s="98"/>
      <c r="J16" s="29"/>
    </row>
    <row r="17" spans="1:10">
      <c r="C17" s="18" t="s">
        <v>885</v>
      </c>
      <c r="E17" s="98"/>
      <c r="F17" s="98"/>
      <c r="G17" s="98"/>
      <c r="H17" s="98"/>
      <c r="I17" s="98"/>
      <c r="J17" s="29"/>
    </row>
    <row r="18" spans="1:10">
      <c r="A18" s="29" t="s">
        <v>720</v>
      </c>
      <c r="C18" s="95" t="s">
        <v>721</v>
      </c>
      <c r="E18" s="30">
        <v>1000</v>
      </c>
      <c r="F18" s="30">
        <v>0</v>
      </c>
      <c r="G18" s="30">
        <v>133.44999999999999</v>
      </c>
      <c r="H18" s="30">
        <f>G18+((G18/9)*3)</f>
        <v>177.93333333333331</v>
      </c>
      <c r="I18" s="30">
        <v>0</v>
      </c>
      <c r="J18" s="29"/>
    </row>
    <row r="19" spans="1:10" s="3" customFormat="1" ht="15.75" thickBot="1">
      <c r="A19" s="18"/>
      <c r="B19" s="18"/>
      <c r="C19" s="18" t="s">
        <v>1069</v>
      </c>
      <c r="D19" s="18"/>
      <c r="E19" s="99">
        <f>SUM(E18:E18)</f>
        <v>1000</v>
      </c>
      <c r="F19" s="99">
        <f>SUM(F18:F18)</f>
        <v>0</v>
      </c>
      <c r="G19" s="99">
        <f>SUM(G18:G18)</f>
        <v>133.44999999999999</v>
      </c>
      <c r="H19" s="99">
        <f>SUM(H18:H18)</f>
        <v>177.93333333333331</v>
      </c>
      <c r="I19" s="99">
        <v>0</v>
      </c>
      <c r="J19" s="18"/>
    </row>
    <row r="20" spans="1:10" ht="15.75" thickTop="1">
      <c r="E20" s="98"/>
      <c r="F20" s="98"/>
      <c r="G20" s="98"/>
      <c r="H20" s="98"/>
      <c r="I20" s="98">
        <v>0</v>
      </c>
      <c r="J20" s="29"/>
    </row>
    <row r="21" spans="1:10" ht="15.75" thickBot="1">
      <c r="A21" s="256" t="s">
        <v>1070</v>
      </c>
      <c r="B21" s="256"/>
      <c r="C21" s="256"/>
      <c r="D21" s="18"/>
      <c r="E21" s="99">
        <f>E11+E15+E19</f>
        <v>761015</v>
      </c>
      <c r="F21" s="99">
        <f>F11+F15+F19</f>
        <v>0</v>
      </c>
      <c r="G21" s="99">
        <f>G11+G15+G19</f>
        <v>788670.12999999989</v>
      </c>
      <c r="H21" s="99">
        <f>H11+H15+H19</f>
        <v>860399.76606060611</v>
      </c>
      <c r="I21" s="99">
        <f>I11+I15+I19</f>
        <v>760050</v>
      </c>
      <c r="J21" s="29"/>
    </row>
    <row r="22" spans="1:10" ht="15.75" thickTop="1">
      <c r="A22" s="117"/>
      <c r="B22" s="117"/>
      <c r="C22" s="117"/>
      <c r="D22" s="18"/>
      <c r="E22" s="125"/>
      <c r="F22" s="125"/>
      <c r="G22" s="125"/>
      <c r="H22" s="125"/>
      <c r="I22" s="125"/>
      <c r="J22" s="29"/>
    </row>
    <row r="23" spans="1:10">
      <c r="E23" s="98"/>
      <c r="F23" s="98"/>
      <c r="G23" s="98"/>
      <c r="H23" s="98"/>
      <c r="I23" s="98"/>
      <c r="J23" s="98"/>
    </row>
    <row r="24" spans="1:10">
      <c r="A24" s="251" t="s">
        <v>895</v>
      </c>
      <c r="B24" s="251"/>
      <c r="C24" s="251"/>
      <c r="D24" s="251"/>
      <c r="E24" s="251"/>
      <c r="F24" s="251"/>
      <c r="G24" s="251"/>
      <c r="H24" s="251"/>
      <c r="I24" s="251"/>
      <c r="J24"/>
    </row>
    <row r="25" spans="1:10">
      <c r="A25" s="107"/>
      <c r="B25" s="107"/>
      <c r="C25" s="107"/>
      <c r="D25" s="107"/>
      <c r="E25" s="107"/>
      <c r="F25" s="107"/>
      <c r="G25" s="107"/>
      <c r="H25" s="107"/>
      <c r="I25" s="107"/>
      <c r="J25"/>
    </row>
    <row r="26" spans="1:10" ht="15" customHeight="1">
      <c r="C26" s="18" t="s">
        <v>22</v>
      </c>
      <c r="E26" s="30"/>
      <c r="F26" s="30"/>
      <c r="G26" s="30"/>
      <c r="H26" s="30"/>
      <c r="I26" s="30"/>
      <c r="J26" s="30"/>
    </row>
    <row r="27" spans="1:10" ht="15" customHeight="1">
      <c r="C27" s="123" t="s">
        <v>196</v>
      </c>
      <c r="E27" s="30"/>
      <c r="F27" s="30"/>
      <c r="G27" s="30"/>
      <c r="H27" s="30"/>
      <c r="I27" s="30"/>
      <c r="J27" s="30"/>
    </row>
    <row r="28" spans="1:10" s="4" customFormat="1">
      <c r="A28" s="33" t="s">
        <v>554</v>
      </c>
      <c r="B28" s="33"/>
      <c r="C28" s="167" t="s">
        <v>196</v>
      </c>
      <c r="D28" s="33"/>
      <c r="E28" s="47">
        <v>89000</v>
      </c>
      <c r="F28" s="47">
        <v>0</v>
      </c>
      <c r="G28" s="161">
        <v>79924.600000000006</v>
      </c>
      <c r="H28" s="47">
        <v>81440.67</v>
      </c>
      <c r="I28" s="47">
        <v>100566.24</v>
      </c>
      <c r="J28" s="33"/>
    </row>
    <row r="29" spans="1:10" s="4" customFormat="1">
      <c r="A29" s="33" t="s">
        <v>555</v>
      </c>
      <c r="B29" s="33"/>
      <c r="C29" s="167" t="s">
        <v>556</v>
      </c>
      <c r="D29" s="33"/>
      <c r="E29" s="47">
        <v>83000</v>
      </c>
      <c r="F29" s="47">
        <v>0</v>
      </c>
      <c r="G29" s="161">
        <v>82637.119999999995</v>
      </c>
      <c r="H29" s="47">
        <v>83608.399999999994</v>
      </c>
      <c r="I29" s="47">
        <v>80000</v>
      </c>
      <c r="J29" s="33"/>
    </row>
    <row r="30" spans="1:10" s="4" customFormat="1">
      <c r="A30" s="33" t="s">
        <v>557</v>
      </c>
      <c r="B30" s="33"/>
      <c r="C30" s="167" t="s">
        <v>17</v>
      </c>
      <c r="D30" s="33"/>
      <c r="E30" s="47">
        <v>2500</v>
      </c>
      <c r="F30" s="47">
        <v>0</v>
      </c>
      <c r="G30" s="161">
        <v>2026.02</v>
      </c>
      <c r="H30" s="47">
        <v>1927.07</v>
      </c>
      <c r="I30" s="47">
        <v>2500</v>
      </c>
      <c r="J30" s="33"/>
    </row>
    <row r="31" spans="1:10" s="3" customFormat="1" ht="15.75" thickBot="1">
      <c r="A31" s="18" t="s">
        <v>6</v>
      </c>
      <c r="B31" s="18"/>
      <c r="C31" s="123" t="s">
        <v>959</v>
      </c>
      <c r="D31" s="18"/>
      <c r="E31" s="99">
        <f>SUM(E28:E30)</f>
        <v>174500</v>
      </c>
      <c r="F31" s="99">
        <f t="shared" ref="F31:I31" si="0">SUM(F28:F30)</f>
        <v>0</v>
      </c>
      <c r="G31" s="99">
        <f t="shared" si="0"/>
        <v>164587.74</v>
      </c>
      <c r="H31" s="99">
        <f t="shared" si="0"/>
        <v>166976.14000000001</v>
      </c>
      <c r="I31" s="99">
        <f t="shared" si="0"/>
        <v>183066.23999999999</v>
      </c>
      <c r="J31" s="18"/>
    </row>
    <row r="32" spans="1:10" ht="15.75" thickTop="1">
      <c r="A32" s="29" t="s">
        <v>6</v>
      </c>
      <c r="C32" s="123" t="s">
        <v>197</v>
      </c>
      <c r="E32" s="30" t="s">
        <v>6</v>
      </c>
      <c r="F32" s="30" t="s">
        <v>6</v>
      </c>
      <c r="G32" s="30" t="s">
        <v>6</v>
      </c>
      <c r="H32" s="30" t="s">
        <v>6</v>
      </c>
      <c r="I32" s="30" t="s">
        <v>6</v>
      </c>
      <c r="J32" s="29"/>
    </row>
    <row r="33" spans="1:10" s="4" customFormat="1">
      <c r="A33" s="33" t="s">
        <v>220</v>
      </c>
      <c r="B33" s="33"/>
      <c r="C33" s="167" t="s">
        <v>221</v>
      </c>
      <c r="D33" s="33"/>
      <c r="E33" s="47">
        <v>8725</v>
      </c>
      <c r="F33" s="47">
        <v>0</v>
      </c>
      <c r="G33" s="47">
        <v>2073.2399999999998</v>
      </c>
      <c r="H33" s="47">
        <f>(G33/11)*12</f>
        <v>2261.7163636363634</v>
      </c>
      <c r="I33" s="47">
        <v>2500</v>
      </c>
      <c r="J33" s="145"/>
    </row>
    <row r="34" spans="1:10">
      <c r="A34" s="29" t="s">
        <v>558</v>
      </c>
      <c r="C34" s="124" t="s">
        <v>207</v>
      </c>
      <c r="E34" s="30">
        <v>13349</v>
      </c>
      <c r="F34" s="30">
        <v>0</v>
      </c>
      <c r="G34" s="104">
        <v>11482.98</v>
      </c>
      <c r="H34" s="30">
        <f>H31*0.0765</f>
        <v>12773.674710000001</v>
      </c>
      <c r="I34" s="30">
        <f>I31*0.0765</f>
        <v>14004.567359999999</v>
      </c>
      <c r="J34" s="29"/>
    </row>
    <row r="35" spans="1:10" s="4" customFormat="1">
      <c r="A35" s="33" t="s">
        <v>559</v>
      </c>
      <c r="B35" s="33"/>
      <c r="C35" s="167" t="s">
        <v>226</v>
      </c>
      <c r="D35" s="33"/>
      <c r="E35" s="47">
        <v>26000</v>
      </c>
      <c r="F35" s="47">
        <v>0</v>
      </c>
      <c r="G35" s="161">
        <v>15562.5</v>
      </c>
      <c r="H35" s="161">
        <v>21000</v>
      </c>
      <c r="I35" s="47">
        <v>26000</v>
      </c>
      <c r="J35" s="33"/>
    </row>
    <row r="36" spans="1:10" s="4" customFormat="1">
      <c r="A36" s="33" t="s">
        <v>560</v>
      </c>
      <c r="B36" s="33"/>
      <c r="C36" s="167" t="s">
        <v>230</v>
      </c>
      <c r="D36" s="33"/>
      <c r="E36" s="47">
        <v>20000</v>
      </c>
      <c r="F36" s="47">
        <v>0</v>
      </c>
      <c r="G36" s="161">
        <v>29346.799999999999</v>
      </c>
      <c r="H36" s="47">
        <f>(G36/11)*12</f>
        <v>32014.69090909091</v>
      </c>
      <c r="I36" s="47">
        <v>35000</v>
      </c>
      <c r="J36" s="145"/>
    </row>
    <row r="37" spans="1:10" s="3" customFormat="1" ht="15.75" thickBot="1">
      <c r="A37" s="18"/>
      <c r="B37" s="18"/>
      <c r="C37" s="123" t="s">
        <v>960</v>
      </c>
      <c r="D37" s="18"/>
      <c r="E37" s="99">
        <f>SUM(E33:E36)</f>
        <v>68074</v>
      </c>
      <c r="F37" s="99">
        <f t="shared" ref="F37:I37" si="1">SUM(F33:F36)</f>
        <v>0</v>
      </c>
      <c r="G37" s="99">
        <f t="shared" si="1"/>
        <v>58465.520000000004</v>
      </c>
      <c r="H37" s="99">
        <f t="shared" si="1"/>
        <v>68050.081982727279</v>
      </c>
      <c r="I37" s="99">
        <f t="shared" si="1"/>
        <v>77504.567360000001</v>
      </c>
      <c r="J37" s="18"/>
    </row>
    <row r="38" spans="1:10" s="3" customFormat="1" ht="16.5" thickTop="1" thickBot="1">
      <c r="A38" s="18"/>
      <c r="B38" s="18"/>
      <c r="C38" s="18" t="s">
        <v>953</v>
      </c>
      <c r="D38" s="18"/>
      <c r="E38" s="36">
        <f>E31+E37</f>
        <v>242574</v>
      </c>
      <c r="F38" s="36">
        <f>F31+F37</f>
        <v>0</v>
      </c>
      <c r="G38" s="36">
        <f>G31+G37</f>
        <v>223053.26</v>
      </c>
      <c r="H38" s="36">
        <f>H31+H37</f>
        <v>235026.22198272729</v>
      </c>
      <c r="I38" s="36">
        <f>I31+I37</f>
        <v>260570.80735999998</v>
      </c>
      <c r="J38" s="18"/>
    </row>
    <row r="39" spans="1:10" ht="15.75" thickTop="1"/>
    <row r="40" spans="1:10">
      <c r="A40" s="29" t="s">
        <v>6</v>
      </c>
      <c r="C40" s="18" t="s">
        <v>199</v>
      </c>
      <c r="E40" s="30" t="s">
        <v>6</v>
      </c>
      <c r="F40" s="30" t="s">
        <v>6</v>
      </c>
      <c r="G40" s="30" t="s">
        <v>6</v>
      </c>
      <c r="H40" s="30" t="s">
        <v>6</v>
      </c>
      <c r="I40" s="30" t="s">
        <v>6</v>
      </c>
      <c r="J40" s="30"/>
    </row>
    <row r="41" spans="1:10">
      <c r="A41" s="29" t="s">
        <v>561</v>
      </c>
      <c r="C41" s="95" t="s">
        <v>562</v>
      </c>
      <c r="E41" s="30">
        <v>1000</v>
      </c>
      <c r="F41" s="30">
        <v>0</v>
      </c>
      <c r="G41" s="104">
        <v>668.67</v>
      </c>
      <c r="H41" s="47">
        <f>(G41/11)*12</f>
        <v>729.45818181818174</v>
      </c>
      <c r="I41" s="30">
        <v>1000</v>
      </c>
      <c r="J41" s="29"/>
    </row>
    <row r="42" spans="1:10" s="3" customFormat="1" ht="15.75" thickBot="1">
      <c r="A42" s="18" t="s">
        <v>6</v>
      </c>
      <c r="B42" s="18"/>
      <c r="C42" s="18" t="s">
        <v>954</v>
      </c>
      <c r="D42" s="18"/>
      <c r="E42" s="99">
        <f>SUM(E41:E41)</f>
        <v>1000</v>
      </c>
      <c r="F42" s="99">
        <f>SUM(F41:F41)</f>
        <v>0</v>
      </c>
      <c r="G42" s="99">
        <f>SUM(G41:G41)</f>
        <v>668.67</v>
      </c>
      <c r="H42" s="99">
        <f>SUM(H41:H41)</f>
        <v>729.45818181818174</v>
      </c>
      <c r="I42" s="99">
        <f>SUM(I41:I41)</f>
        <v>1000</v>
      </c>
      <c r="J42" s="18"/>
    </row>
    <row r="43" spans="1:10" ht="15.75" thickTop="1">
      <c r="E43" s="30"/>
      <c r="F43" s="30"/>
      <c r="G43" s="30"/>
      <c r="H43" s="30"/>
      <c r="I43" s="30"/>
      <c r="J43" s="29"/>
    </row>
    <row r="44" spans="1:10">
      <c r="A44" s="29" t="s">
        <v>6</v>
      </c>
      <c r="C44" s="18" t="s">
        <v>202</v>
      </c>
      <c r="E44" s="30" t="s">
        <v>6</v>
      </c>
      <c r="F44" s="30" t="s">
        <v>6</v>
      </c>
      <c r="G44" s="30" t="s">
        <v>6</v>
      </c>
      <c r="H44" s="30" t="s">
        <v>6</v>
      </c>
      <c r="I44" s="30" t="s">
        <v>6</v>
      </c>
      <c r="J44" s="30"/>
    </row>
    <row r="45" spans="1:10" s="4" customFormat="1">
      <c r="A45" s="33" t="s">
        <v>929</v>
      </c>
      <c r="B45" s="33"/>
      <c r="C45" s="93" t="s">
        <v>570</v>
      </c>
      <c r="D45" s="33"/>
      <c r="E45" s="47">
        <v>30000</v>
      </c>
      <c r="F45" s="47">
        <v>0</v>
      </c>
      <c r="G45" s="161">
        <v>27089.759999999998</v>
      </c>
      <c r="H45" s="47">
        <f t="shared" ref="H45:H54" si="2">(G45/11)*12</f>
        <v>29552.465454545454</v>
      </c>
      <c r="I45" s="47">
        <v>25000</v>
      </c>
      <c r="J45" s="33"/>
    </row>
    <row r="46" spans="1:10">
      <c r="A46" s="29" t="s">
        <v>937</v>
      </c>
      <c r="C46" s="95" t="s">
        <v>722</v>
      </c>
      <c r="E46" s="30">
        <v>8000</v>
      </c>
      <c r="F46" s="30">
        <v>0</v>
      </c>
      <c r="G46" s="104">
        <v>5134.55</v>
      </c>
      <c r="H46" s="47">
        <f t="shared" si="2"/>
        <v>5601.3272727272733</v>
      </c>
      <c r="I46" s="30">
        <v>8000</v>
      </c>
      <c r="J46" s="29"/>
    </row>
    <row r="47" spans="1:10" s="4" customFormat="1">
      <c r="A47" s="33" t="s">
        <v>938</v>
      </c>
      <c r="B47" s="33"/>
      <c r="C47" s="93" t="s">
        <v>10</v>
      </c>
      <c r="D47" s="33"/>
      <c r="E47" s="47">
        <v>85000</v>
      </c>
      <c r="F47" s="47">
        <v>0</v>
      </c>
      <c r="G47" s="161">
        <v>93560.08</v>
      </c>
      <c r="H47" s="47">
        <f t="shared" si="2"/>
        <v>102065.54181818182</v>
      </c>
      <c r="I47" s="47">
        <v>95000</v>
      </c>
      <c r="J47" s="33" t="s">
        <v>6</v>
      </c>
    </row>
    <row r="48" spans="1:10" s="4" customFormat="1">
      <c r="A48" s="33" t="s">
        <v>1053</v>
      </c>
      <c r="B48" s="33"/>
      <c r="C48" s="93" t="s">
        <v>250</v>
      </c>
      <c r="D48" s="33"/>
      <c r="E48" s="47">
        <v>0</v>
      </c>
      <c r="F48" s="47">
        <v>0</v>
      </c>
      <c r="G48" s="161">
        <v>0</v>
      </c>
      <c r="H48" s="47">
        <f t="shared" si="2"/>
        <v>0</v>
      </c>
      <c r="I48" s="47">
        <v>800</v>
      </c>
      <c r="J48" s="33"/>
    </row>
    <row r="49" spans="1:10">
      <c r="A49" s="29" t="s">
        <v>763</v>
      </c>
      <c r="C49" s="95" t="s">
        <v>572</v>
      </c>
      <c r="E49" s="30">
        <v>4500</v>
      </c>
      <c r="F49" s="30">
        <v>0</v>
      </c>
      <c r="G49" s="104">
        <v>4043.67</v>
      </c>
      <c r="H49" s="47">
        <f t="shared" si="2"/>
        <v>4411.2763636363634</v>
      </c>
      <c r="I49" s="30">
        <v>4500</v>
      </c>
      <c r="J49" s="29"/>
    </row>
    <row r="50" spans="1:10" s="4" customFormat="1">
      <c r="A50" s="33" t="s">
        <v>764</v>
      </c>
      <c r="B50" s="33"/>
      <c r="C50" s="93" t="s">
        <v>245</v>
      </c>
      <c r="D50" s="33"/>
      <c r="E50" s="47">
        <v>6500</v>
      </c>
      <c r="F50" s="47">
        <v>0</v>
      </c>
      <c r="G50" s="161">
        <v>4500.01</v>
      </c>
      <c r="H50" s="47">
        <f t="shared" si="2"/>
        <v>4909.1018181818181</v>
      </c>
      <c r="I50" s="47">
        <v>6000</v>
      </c>
      <c r="J50" s="33"/>
    </row>
    <row r="51" spans="1:10" s="4" customFormat="1">
      <c r="A51" s="33" t="s">
        <v>933</v>
      </c>
      <c r="B51" s="33"/>
      <c r="C51" s="93" t="s">
        <v>243</v>
      </c>
      <c r="D51" s="33"/>
      <c r="E51" s="47">
        <v>400</v>
      </c>
      <c r="F51" s="47">
        <v>0</v>
      </c>
      <c r="G51" s="161">
        <v>360</v>
      </c>
      <c r="H51" s="47">
        <f t="shared" si="2"/>
        <v>392.72727272727275</v>
      </c>
      <c r="I51" s="47">
        <v>360</v>
      </c>
      <c r="J51" s="33"/>
    </row>
    <row r="52" spans="1:10">
      <c r="A52" s="29" t="s">
        <v>934</v>
      </c>
      <c r="C52" s="95" t="s">
        <v>573</v>
      </c>
      <c r="E52" s="30">
        <v>5000</v>
      </c>
      <c r="F52" s="30">
        <v>0</v>
      </c>
      <c r="G52" s="104">
        <v>4722.6400000000003</v>
      </c>
      <c r="H52" s="47">
        <f t="shared" si="2"/>
        <v>5151.9709090909091</v>
      </c>
      <c r="I52" s="30">
        <v>5000</v>
      </c>
      <c r="J52" s="29"/>
    </row>
    <row r="53" spans="1:10" s="4" customFormat="1">
      <c r="A53" s="33" t="s">
        <v>765</v>
      </c>
      <c r="B53" s="33"/>
      <c r="C53" s="93" t="s">
        <v>249</v>
      </c>
      <c r="D53" s="33"/>
      <c r="E53" s="47">
        <v>43532</v>
      </c>
      <c r="F53" s="47">
        <v>0</v>
      </c>
      <c r="G53" s="161">
        <v>30830.02</v>
      </c>
      <c r="H53" s="47">
        <f t="shared" si="2"/>
        <v>33632.749090909092</v>
      </c>
      <c r="I53" s="47">
        <v>43000</v>
      </c>
      <c r="J53" s="33"/>
    </row>
    <row r="54" spans="1:10" s="4" customFormat="1">
      <c r="A54" s="33" t="s">
        <v>767</v>
      </c>
      <c r="B54" s="33"/>
      <c r="C54" s="93" t="s">
        <v>574</v>
      </c>
      <c r="D54" s="33"/>
      <c r="E54" s="47">
        <v>19000</v>
      </c>
      <c r="F54" s="47">
        <v>0</v>
      </c>
      <c r="G54" s="161">
        <v>16478.54</v>
      </c>
      <c r="H54" s="47">
        <f t="shared" si="2"/>
        <v>17976.589090909092</v>
      </c>
      <c r="I54" s="47">
        <v>15000</v>
      </c>
      <c r="J54" s="33"/>
    </row>
    <row r="55" spans="1:10" s="3" customFormat="1" ht="15.75" thickBot="1">
      <c r="A55" s="18"/>
      <c r="B55" s="18"/>
      <c r="C55" s="18" t="s">
        <v>955</v>
      </c>
      <c r="D55" s="18"/>
      <c r="E55" s="99">
        <f t="shared" ref="E55:I55" si="3">SUM(E45:E54)</f>
        <v>201932</v>
      </c>
      <c r="F55" s="99">
        <f t="shared" si="3"/>
        <v>0</v>
      </c>
      <c r="G55" s="99">
        <f t="shared" si="3"/>
        <v>186719.27000000002</v>
      </c>
      <c r="H55" s="99">
        <f t="shared" si="3"/>
        <v>203693.74909090906</v>
      </c>
      <c r="I55" s="99">
        <f t="shared" si="3"/>
        <v>202660</v>
      </c>
      <c r="J55" s="18"/>
    </row>
    <row r="56" spans="1:10" ht="15.75" thickTop="1"/>
    <row r="57" spans="1:10">
      <c r="C57" s="18" t="s">
        <v>889</v>
      </c>
    </row>
    <row r="58" spans="1:10">
      <c r="A58" s="29" t="s">
        <v>723</v>
      </c>
      <c r="C58" s="95" t="s">
        <v>724</v>
      </c>
      <c r="E58" s="30">
        <v>1000</v>
      </c>
      <c r="F58" s="30">
        <v>0</v>
      </c>
      <c r="G58" s="104">
        <v>27.45</v>
      </c>
      <c r="H58" s="47">
        <f>(G58/11)*12</f>
        <v>29.945454545454545</v>
      </c>
      <c r="I58" s="30">
        <v>1000</v>
      </c>
      <c r="J58" s="29"/>
    </row>
    <row r="59" spans="1:10">
      <c r="A59" s="29" t="s">
        <v>725</v>
      </c>
      <c r="C59" s="95" t="s">
        <v>577</v>
      </c>
      <c r="E59" s="30">
        <v>5000</v>
      </c>
      <c r="F59" s="30">
        <v>0</v>
      </c>
      <c r="G59" s="104">
        <v>5705.13</v>
      </c>
      <c r="H59" s="47">
        <f>(G59/11)*12</f>
        <v>6223.7781818181811</v>
      </c>
      <c r="I59" s="30">
        <v>4500</v>
      </c>
      <c r="J59" s="29"/>
    </row>
    <row r="60" spans="1:10">
      <c r="A60" s="29" t="s">
        <v>726</v>
      </c>
      <c r="C60" s="95" t="s">
        <v>727</v>
      </c>
      <c r="E60" s="30">
        <v>6500</v>
      </c>
      <c r="F60" s="30">
        <v>0</v>
      </c>
      <c r="G60" s="104">
        <v>13100.81</v>
      </c>
      <c r="H60" s="47">
        <f>(G60/11)*12</f>
        <v>14291.792727272728</v>
      </c>
      <c r="I60" s="30">
        <v>10500</v>
      </c>
      <c r="J60" s="29"/>
    </row>
    <row r="61" spans="1:10">
      <c r="A61" s="29" t="s">
        <v>583</v>
      </c>
      <c r="C61" s="95" t="s">
        <v>584</v>
      </c>
      <c r="E61" s="30">
        <v>6000</v>
      </c>
      <c r="F61" s="30">
        <v>0</v>
      </c>
      <c r="G61" s="104">
        <v>4714.3500000000004</v>
      </c>
      <c r="H61" s="47">
        <f>(G61/11)*12</f>
        <v>5142.9272727272728</v>
      </c>
      <c r="I61" s="30">
        <v>5000</v>
      </c>
      <c r="J61" s="29"/>
    </row>
    <row r="62" spans="1:10">
      <c r="A62" s="29" t="s">
        <v>585</v>
      </c>
      <c r="C62" s="95" t="s">
        <v>586</v>
      </c>
      <c r="E62" s="30">
        <v>1000</v>
      </c>
      <c r="F62" s="30">
        <v>0</v>
      </c>
      <c r="G62" s="104">
        <v>187.52</v>
      </c>
      <c r="H62" s="47">
        <f>(G62/11)*12</f>
        <v>204.56727272727272</v>
      </c>
      <c r="I62" s="30">
        <v>1000</v>
      </c>
      <c r="J62" s="29"/>
    </row>
    <row r="63" spans="1:10" s="3" customFormat="1" ht="15.75" thickBot="1">
      <c r="A63" s="18"/>
      <c r="B63" s="18"/>
      <c r="C63" s="18" t="s">
        <v>956</v>
      </c>
      <c r="D63" s="18"/>
      <c r="E63" s="99">
        <f t="shared" ref="E63:I63" si="4">SUM(E58:E62)</f>
        <v>19500</v>
      </c>
      <c r="F63" s="99">
        <f t="shared" si="4"/>
        <v>0</v>
      </c>
      <c r="G63" s="99">
        <f t="shared" si="4"/>
        <v>23735.26</v>
      </c>
      <c r="H63" s="99">
        <f t="shared" si="4"/>
        <v>25893.01090909091</v>
      </c>
      <c r="I63" s="99">
        <f t="shared" si="4"/>
        <v>22000</v>
      </c>
      <c r="J63" s="18"/>
    </row>
    <row r="64" spans="1:10" ht="15.75" thickTop="1"/>
    <row r="65" spans="1:10">
      <c r="A65" s="29" t="s">
        <v>6</v>
      </c>
      <c r="C65" s="18" t="s">
        <v>217</v>
      </c>
      <c r="E65" s="30" t="s">
        <v>6</v>
      </c>
      <c r="F65" s="30" t="s">
        <v>6</v>
      </c>
      <c r="G65" s="30" t="s">
        <v>6</v>
      </c>
      <c r="H65" s="30" t="s">
        <v>6</v>
      </c>
      <c r="I65" s="30" t="s">
        <v>6</v>
      </c>
      <c r="J65" s="30"/>
    </row>
    <row r="66" spans="1:10">
      <c r="A66" s="29" t="s">
        <v>728</v>
      </c>
      <c r="C66" s="95" t="s">
        <v>729</v>
      </c>
      <c r="E66" s="30">
        <v>30000</v>
      </c>
      <c r="F66" s="30">
        <v>0</v>
      </c>
      <c r="G66" s="104">
        <v>26675.599999999999</v>
      </c>
      <c r="H66" s="47">
        <f>(G66/11)*12</f>
        <v>29100.654545454545</v>
      </c>
      <c r="I66" s="30">
        <v>30000</v>
      </c>
      <c r="J66" s="29"/>
    </row>
    <row r="67" spans="1:10">
      <c r="A67" s="29" t="s">
        <v>730</v>
      </c>
      <c r="C67" s="95" t="s">
        <v>602</v>
      </c>
      <c r="E67" s="30">
        <v>40000</v>
      </c>
      <c r="F67" s="30">
        <v>0</v>
      </c>
      <c r="G67" s="104">
        <v>11712.23</v>
      </c>
      <c r="H67" s="47">
        <f>(G67/11)*12</f>
        <v>12776.978181818182</v>
      </c>
      <c r="I67" s="30">
        <v>15000</v>
      </c>
      <c r="J67" s="29"/>
    </row>
    <row r="68" spans="1:10">
      <c r="A68" s="29" t="s">
        <v>609</v>
      </c>
      <c r="C68" s="95" t="s">
        <v>610</v>
      </c>
      <c r="E68" s="30">
        <v>1000</v>
      </c>
      <c r="F68" s="30">
        <v>0</v>
      </c>
      <c r="G68" s="104">
        <v>281.33</v>
      </c>
      <c r="H68" s="47">
        <f>(G68/11)*12</f>
        <v>306.90545454545452</v>
      </c>
      <c r="I68" s="30">
        <v>500</v>
      </c>
      <c r="J68" s="29"/>
    </row>
    <row r="69" spans="1:10" s="3" customFormat="1" ht="15.75" thickBot="1">
      <c r="A69" s="18"/>
      <c r="B69" s="18"/>
      <c r="C69" s="18" t="s">
        <v>1071</v>
      </c>
      <c r="D69" s="18"/>
      <c r="E69" s="99">
        <f t="shared" ref="E69:I69" si="5">SUM(E66:E68)</f>
        <v>71000</v>
      </c>
      <c r="F69" s="99">
        <f t="shared" si="5"/>
        <v>0</v>
      </c>
      <c r="G69" s="99">
        <f t="shared" si="5"/>
        <v>38669.160000000003</v>
      </c>
      <c r="H69" s="99">
        <f t="shared" si="5"/>
        <v>42184.538181818185</v>
      </c>
      <c r="I69" s="99">
        <f t="shared" si="5"/>
        <v>45500</v>
      </c>
      <c r="J69" s="18"/>
    </row>
    <row r="70" spans="1:10" ht="15.75" thickTop="1"/>
    <row r="71" spans="1:10">
      <c r="C71" s="18" t="s">
        <v>24</v>
      </c>
    </row>
    <row r="72" spans="1:10" s="4" customFormat="1">
      <c r="A72" s="33" t="s">
        <v>731</v>
      </c>
      <c r="B72" s="33"/>
      <c r="C72" s="93" t="s">
        <v>732</v>
      </c>
      <c r="D72" s="33"/>
      <c r="E72" s="47">
        <v>35000</v>
      </c>
      <c r="F72" s="47">
        <v>0</v>
      </c>
      <c r="G72" s="161">
        <v>87221.38</v>
      </c>
      <c r="H72" s="47">
        <v>100000</v>
      </c>
      <c r="I72" s="47">
        <v>100000</v>
      </c>
      <c r="J72" s="33" t="s">
        <v>939</v>
      </c>
    </row>
    <row r="73" spans="1:10" s="4" customFormat="1">
      <c r="A73" s="33" t="s">
        <v>733</v>
      </c>
      <c r="B73" s="33"/>
      <c r="C73" s="93" t="s">
        <v>734</v>
      </c>
      <c r="D73" s="33"/>
      <c r="E73" s="47">
        <v>10000</v>
      </c>
      <c r="F73" s="47">
        <v>0</v>
      </c>
      <c r="G73" s="47">
        <v>0</v>
      </c>
      <c r="H73" s="47">
        <v>10000</v>
      </c>
      <c r="I73" s="47">
        <v>10000</v>
      </c>
      <c r="J73" s="33"/>
    </row>
    <row r="74" spans="1:10" s="3" customFormat="1" ht="15.75" thickBot="1">
      <c r="A74" s="18"/>
      <c r="B74" s="18"/>
      <c r="C74" s="18" t="s">
        <v>980</v>
      </c>
      <c r="D74" s="18"/>
      <c r="E74" s="99">
        <f t="shared" ref="E74:I74" si="6">SUM(E72:E73)</f>
        <v>45000</v>
      </c>
      <c r="F74" s="99">
        <f t="shared" si="6"/>
        <v>0</v>
      </c>
      <c r="G74" s="99">
        <f t="shared" si="6"/>
        <v>87221.38</v>
      </c>
      <c r="H74" s="99">
        <f t="shared" si="6"/>
        <v>110000</v>
      </c>
      <c r="I74" s="99">
        <f t="shared" si="6"/>
        <v>110000</v>
      </c>
      <c r="J74" s="18"/>
    </row>
    <row r="75" spans="1:10" ht="15.75" thickTop="1"/>
    <row r="76" spans="1:10">
      <c r="C76" s="18" t="s">
        <v>858</v>
      </c>
    </row>
    <row r="77" spans="1:10" s="4" customFormat="1">
      <c r="A77" s="33" t="s">
        <v>735</v>
      </c>
      <c r="B77" s="33"/>
      <c r="C77" s="93" t="s">
        <v>736</v>
      </c>
      <c r="D77" s="33"/>
      <c r="E77" s="47">
        <v>8680</v>
      </c>
      <c r="F77" s="47">
        <v>0</v>
      </c>
      <c r="G77" s="47">
        <v>8680</v>
      </c>
      <c r="H77" s="47">
        <v>8679.84</v>
      </c>
      <c r="I77" s="47">
        <v>8680</v>
      </c>
      <c r="J77" s="33"/>
    </row>
    <row r="78" spans="1:10" s="4" customFormat="1">
      <c r="A78" s="33" t="s">
        <v>737</v>
      </c>
      <c r="B78" s="33"/>
      <c r="C78" s="93" t="s">
        <v>738</v>
      </c>
      <c r="D78" s="33"/>
      <c r="E78" s="47">
        <v>77878</v>
      </c>
      <c r="F78" s="47">
        <v>0</v>
      </c>
      <c r="G78" s="47">
        <v>77878</v>
      </c>
      <c r="H78" s="47">
        <v>77878</v>
      </c>
      <c r="I78" s="47">
        <v>77878</v>
      </c>
      <c r="J78" s="33"/>
    </row>
    <row r="79" spans="1:10" s="4" customFormat="1">
      <c r="A79" s="33" t="s">
        <v>739</v>
      </c>
      <c r="B79" s="33"/>
      <c r="C79" s="93" t="s">
        <v>740</v>
      </c>
      <c r="D79" s="33"/>
      <c r="E79" s="47">
        <v>34888</v>
      </c>
      <c r="F79" s="47">
        <v>0</v>
      </c>
      <c r="G79" s="47">
        <v>34888</v>
      </c>
      <c r="H79" s="47">
        <v>34888</v>
      </c>
      <c r="I79" s="47">
        <v>34888</v>
      </c>
      <c r="J79" s="33"/>
    </row>
    <row r="80" spans="1:10" s="4" customFormat="1">
      <c r="A80" s="33" t="s">
        <v>634</v>
      </c>
      <c r="B80" s="33"/>
      <c r="C80" s="93" t="s">
        <v>635</v>
      </c>
      <c r="D80" s="33"/>
      <c r="E80" s="47">
        <v>8775</v>
      </c>
      <c r="F80" s="47">
        <v>0</v>
      </c>
      <c r="G80" s="47">
        <v>8638</v>
      </c>
      <c r="H80" s="47">
        <v>8638</v>
      </c>
      <c r="I80" s="47">
        <v>0</v>
      </c>
      <c r="J80" s="33"/>
    </row>
    <row r="81" spans="1:10" s="3" customFormat="1" ht="15.75" thickBot="1">
      <c r="A81" s="18"/>
      <c r="B81" s="18"/>
      <c r="C81" s="18" t="s">
        <v>966</v>
      </c>
      <c r="D81" s="18"/>
      <c r="E81" s="99">
        <f t="shared" ref="E81:I81" si="7">SUM(E77:E80)</f>
        <v>130221</v>
      </c>
      <c r="F81" s="99">
        <f t="shared" si="7"/>
        <v>0</v>
      </c>
      <c r="G81" s="99">
        <f t="shared" si="7"/>
        <v>130084</v>
      </c>
      <c r="H81" s="99">
        <f t="shared" si="7"/>
        <v>130083.84</v>
      </c>
      <c r="I81" s="99">
        <f t="shared" si="7"/>
        <v>121446</v>
      </c>
      <c r="J81" s="18"/>
    </row>
    <row r="82" spans="1:10" ht="15.75" thickTop="1">
      <c r="E82" s="101"/>
      <c r="F82" s="101"/>
      <c r="G82" s="101"/>
      <c r="H82" s="101"/>
      <c r="I82" s="101"/>
      <c r="J82" s="29"/>
    </row>
    <row r="83" spans="1:10" s="3" customFormat="1" ht="15.75" thickBot="1">
      <c r="A83" s="257" t="s">
        <v>1072</v>
      </c>
      <c r="B83" s="257"/>
      <c r="C83" s="257"/>
      <c r="D83" s="18"/>
      <c r="E83" s="99">
        <f>E38+E42+E55+E63+E69+E74+E81</f>
        <v>711227</v>
      </c>
      <c r="F83" s="99">
        <f t="shared" ref="F83:I83" si="8">F38+F42+F55+F63+F69+F74+F81</f>
        <v>0</v>
      </c>
      <c r="G83" s="99">
        <f t="shared" si="8"/>
        <v>690151.00000000012</v>
      </c>
      <c r="H83" s="99">
        <f t="shared" si="8"/>
        <v>747610.81834636361</v>
      </c>
      <c r="I83" s="99">
        <f t="shared" si="8"/>
        <v>763176.80735999998</v>
      </c>
      <c r="J83" s="18"/>
    </row>
    <row r="84" spans="1:10" ht="15.75" thickTop="1"/>
  </sheetData>
  <mergeCells count="5">
    <mergeCell ref="A1:I1"/>
    <mergeCell ref="A6:H6"/>
    <mergeCell ref="A21:C21"/>
    <mergeCell ref="A24:I24"/>
    <mergeCell ref="A83:C83"/>
  </mergeCells>
  <printOptions horizontalCentered="1"/>
  <pageMargins left="0.7" right="0.7" top="0.75" bottom="0.75" header="0.3" footer="0.3"/>
  <pageSetup scale="73" fitToHeight="0" orientation="landscape" r:id="rId1"/>
  <headerFooter>
    <oddFooter>&amp;L&amp;D&amp;CWorksheet
Page &amp;P&amp;R&amp;T</oddFooter>
  </headerFooter>
  <rowBreaks count="2" manualBreakCount="2">
    <brk id="23" max="16383" man="1"/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3"/>
  <sheetViews>
    <sheetView topLeftCell="A22" workbookViewId="0">
      <selection activeCell="G49" sqref="G49"/>
    </sheetView>
  </sheetViews>
  <sheetFormatPr defaultRowHeight="15"/>
  <cols>
    <col min="1" max="1" width="40.7109375" style="33" customWidth="1"/>
    <col min="2" max="5" width="15.7109375" style="114" customWidth="1"/>
    <col min="6" max="6" width="15.7109375" style="114" hidden="1" customWidth="1"/>
    <col min="7" max="7" width="15.7109375" style="114" customWidth="1"/>
    <col min="8" max="8" width="11.42578125" customWidth="1"/>
  </cols>
  <sheetData>
    <row r="1" spans="1:10">
      <c r="A1" s="253" t="s">
        <v>34</v>
      </c>
      <c r="B1" s="253"/>
      <c r="C1" s="253"/>
      <c r="D1" s="253"/>
      <c r="E1" s="253"/>
      <c r="F1" s="253"/>
      <c r="G1" s="253"/>
      <c r="H1" s="129"/>
      <c r="I1" s="129"/>
      <c r="J1" s="129"/>
    </row>
    <row r="2" spans="1:10">
      <c r="A2" s="253" t="s">
        <v>745</v>
      </c>
      <c r="B2" s="253"/>
      <c r="C2" s="253"/>
      <c r="D2" s="253"/>
      <c r="E2" s="253"/>
      <c r="F2" s="253"/>
      <c r="G2" s="253"/>
      <c r="H2" s="129"/>
      <c r="I2" s="129"/>
      <c r="J2" s="129"/>
    </row>
    <row r="3" spans="1:10" ht="7.5" customHeight="1">
      <c r="A3" s="108" t="s">
        <v>6</v>
      </c>
      <c r="B3" s="109" t="s">
        <v>6</v>
      </c>
      <c r="C3" s="109" t="s">
        <v>6</v>
      </c>
      <c r="D3" s="109"/>
      <c r="E3" s="109" t="s">
        <v>6</v>
      </c>
      <c r="F3" s="109" t="s">
        <v>6</v>
      </c>
      <c r="G3" s="109" t="s">
        <v>6</v>
      </c>
      <c r="H3" s="129"/>
      <c r="I3" s="129"/>
      <c r="J3" s="129"/>
    </row>
    <row r="4" spans="1:10">
      <c r="A4" s="61"/>
      <c r="B4" s="63">
        <v>2018</v>
      </c>
      <c r="C4" s="63">
        <v>2019</v>
      </c>
      <c r="D4" s="63">
        <v>2019</v>
      </c>
      <c r="E4" s="51">
        <v>2019</v>
      </c>
      <c r="F4" s="51">
        <v>2019</v>
      </c>
      <c r="G4" s="64" t="s">
        <v>839</v>
      </c>
      <c r="H4" s="129"/>
      <c r="I4" s="129"/>
      <c r="J4" s="129"/>
    </row>
    <row r="5" spans="1:10">
      <c r="A5" s="105" t="s">
        <v>864</v>
      </c>
      <c r="B5" s="66" t="s">
        <v>823</v>
      </c>
      <c r="C5" s="66" t="s">
        <v>862</v>
      </c>
      <c r="D5" s="66" t="s">
        <v>863</v>
      </c>
      <c r="E5" s="66" t="s">
        <v>1147</v>
      </c>
      <c r="F5" s="66" t="s">
        <v>909</v>
      </c>
      <c r="G5" s="67" t="s">
        <v>826</v>
      </c>
      <c r="H5" s="129"/>
      <c r="I5" s="129"/>
      <c r="J5" s="129"/>
    </row>
    <row r="6" spans="1:10">
      <c r="A6" s="61" t="s">
        <v>865</v>
      </c>
      <c r="B6" s="109"/>
      <c r="C6" s="109"/>
      <c r="D6" s="109"/>
      <c r="E6" s="109"/>
      <c r="F6" s="109"/>
      <c r="G6" s="109"/>
      <c r="H6" s="129"/>
      <c r="I6" s="129"/>
      <c r="J6" s="129"/>
    </row>
    <row r="7" spans="1:10">
      <c r="A7" s="93" t="s">
        <v>528</v>
      </c>
      <c r="B7" s="110">
        <v>624095.24</v>
      </c>
      <c r="C7" s="110">
        <f>'Worksheet - Garbage Fund (022)'!E11</f>
        <v>625000</v>
      </c>
      <c r="D7" s="110">
        <f>'Worksheet - Garbage Fund (022)'!F11</f>
        <v>0</v>
      </c>
      <c r="E7" s="110">
        <f>'Worksheet - Garbage Fund (022)'!G11</f>
        <v>622627.52</v>
      </c>
      <c r="F7" s="110">
        <f>'Worksheet - Garbage Fund (022)'!H11</f>
        <v>679230.02181818185</v>
      </c>
      <c r="G7" s="110">
        <f>'Worksheet - Garbage Fund (022)'!I11</f>
        <v>625000</v>
      </c>
      <c r="H7" s="38"/>
    </row>
    <row r="8" spans="1:10">
      <c r="A8" s="93" t="s">
        <v>531</v>
      </c>
      <c r="B8" s="110">
        <v>5566</v>
      </c>
      <c r="C8" s="110">
        <f>'Worksheet - Garbage Fund (022)'!E18</f>
        <v>30000</v>
      </c>
      <c r="D8" s="110">
        <f>'Worksheet - Garbage Fund (022)'!F18</f>
        <v>0</v>
      </c>
      <c r="E8" s="110">
        <f>'Worksheet - Garbage Fund (022)'!G18</f>
        <v>13039.27</v>
      </c>
      <c r="F8" s="110">
        <f>'Worksheet - Garbage Fund (022)'!H18</f>
        <v>13683.272727272728</v>
      </c>
      <c r="G8" s="110">
        <f>'Worksheet - Garbage Fund (022)'!I18</f>
        <v>17500</v>
      </c>
      <c r="H8" s="38"/>
    </row>
    <row r="9" spans="1:10" ht="15.75" thickBot="1">
      <c r="A9" s="108" t="s">
        <v>1</v>
      </c>
      <c r="B9" s="111">
        <f>SUM(B7:B8)</f>
        <v>629661.24</v>
      </c>
      <c r="C9" s="111">
        <f t="shared" ref="C9:G9" si="0">SUM(C7:C8)</f>
        <v>655000</v>
      </c>
      <c r="D9" s="111">
        <f t="shared" si="0"/>
        <v>0</v>
      </c>
      <c r="E9" s="111">
        <f t="shared" si="0"/>
        <v>635666.79</v>
      </c>
      <c r="F9" s="111">
        <f t="shared" si="0"/>
        <v>692913.29454545456</v>
      </c>
      <c r="G9" s="111">
        <f t="shared" si="0"/>
        <v>642500</v>
      </c>
      <c r="H9" s="42"/>
    </row>
    <row r="10" spans="1:10" ht="15.75" thickTop="1">
      <c r="A10" s="108"/>
      <c r="B10" s="137"/>
      <c r="C10" s="137"/>
      <c r="D10" s="137"/>
      <c r="E10" s="137"/>
      <c r="F10" s="137"/>
      <c r="G10" s="137"/>
      <c r="H10" s="42"/>
    </row>
    <row r="11" spans="1:10">
      <c r="B11" s="112" t="s">
        <v>6</v>
      </c>
      <c r="C11" s="112" t="s">
        <v>6</v>
      </c>
      <c r="D11" s="112"/>
      <c r="E11" s="112" t="s">
        <v>6</v>
      </c>
      <c r="F11" s="112" t="s">
        <v>6</v>
      </c>
      <c r="G11" s="112" t="s">
        <v>6</v>
      </c>
    </row>
    <row r="12" spans="1:10">
      <c r="A12" s="108" t="s">
        <v>898</v>
      </c>
      <c r="B12" s="112"/>
      <c r="C12" s="112"/>
      <c r="D12" s="112"/>
      <c r="E12" s="112"/>
      <c r="F12" s="112"/>
      <c r="G12" s="112"/>
    </row>
    <row r="13" spans="1:10">
      <c r="A13" s="93" t="s">
        <v>22</v>
      </c>
      <c r="B13" s="110">
        <v>222719</v>
      </c>
      <c r="C13" s="110">
        <f>'Worksheet - Garbage Fund (022)'!E37</f>
        <v>261713</v>
      </c>
      <c r="D13" s="110">
        <f>'Worksheet - Garbage Fund (022)'!F37</f>
        <v>0</v>
      </c>
      <c r="E13" s="110">
        <f>'Worksheet - Garbage Fund (022)'!G37</f>
        <v>241443.20000000001</v>
      </c>
      <c r="F13" s="110">
        <f>'Worksheet - Garbage Fund (022)'!H37</f>
        <v>248393.48035090911</v>
      </c>
      <c r="G13" s="110">
        <f>'Worksheet - Garbage Fund (022)'!I37</f>
        <v>250272.75</v>
      </c>
      <c r="H13" s="40"/>
    </row>
    <row r="14" spans="1:10">
      <c r="A14" s="95" t="s">
        <v>199</v>
      </c>
      <c r="B14" s="113">
        <v>534</v>
      </c>
      <c r="C14" s="110">
        <f>'Worksheet - Garbage Fund (022)'!E41</f>
        <v>500</v>
      </c>
      <c r="D14" s="110">
        <f>'Worksheet - Garbage Fund (022)'!F41</f>
        <v>0</v>
      </c>
      <c r="E14" s="110">
        <f>'Worksheet - Garbage Fund (022)'!G41</f>
        <v>840.67</v>
      </c>
      <c r="F14" s="110">
        <f>'Worksheet - Garbage Fund (022)'!H41</f>
        <v>917.09454545454537</v>
      </c>
      <c r="G14" s="110">
        <f>'Worksheet - Garbage Fund (022)'!I41</f>
        <v>700</v>
      </c>
      <c r="H14" s="40"/>
    </row>
    <row r="15" spans="1:10">
      <c r="A15" s="95" t="s">
        <v>202</v>
      </c>
      <c r="B15" s="113">
        <v>163429</v>
      </c>
      <c r="C15" s="110">
        <f>'Worksheet - Garbage Fund (022)'!E54</f>
        <v>173950</v>
      </c>
      <c r="D15" s="110">
        <f>'Worksheet - Garbage Fund (022)'!F54</f>
        <v>0</v>
      </c>
      <c r="E15" s="110">
        <f>'Worksheet - Garbage Fund (022)'!G54</f>
        <v>133149.39000000001</v>
      </c>
      <c r="F15" s="110">
        <f>'Worksheet - Garbage Fund (022)'!H54</f>
        <v>145253.88</v>
      </c>
      <c r="G15" s="110">
        <f>'Worksheet - Garbage Fund (022)'!I54</f>
        <v>171032</v>
      </c>
      <c r="H15" s="40"/>
    </row>
    <row r="16" spans="1:10">
      <c r="A16" s="95" t="s">
        <v>204</v>
      </c>
      <c r="B16" s="113">
        <f>15960.9+379.6+12094.03</f>
        <v>28434.53</v>
      </c>
      <c r="C16" s="110">
        <f>'Worksheet - Garbage Fund (022)'!E60</f>
        <v>35750</v>
      </c>
      <c r="D16" s="110">
        <f>'Worksheet - Garbage Fund (022)'!F60</f>
        <v>0</v>
      </c>
      <c r="E16" s="110">
        <f>'Worksheet - Garbage Fund (022)'!G60</f>
        <v>28212.590000000004</v>
      </c>
      <c r="F16" s="110">
        <f>'Worksheet - Garbage Fund (022)'!H60</f>
        <v>30777.370909090911</v>
      </c>
      <c r="G16" s="110">
        <f>'Worksheet - Garbage Fund (022)'!I60</f>
        <v>38000</v>
      </c>
      <c r="H16" s="40"/>
    </row>
    <row r="17" spans="1:8">
      <c r="A17" s="95" t="s">
        <v>217</v>
      </c>
      <c r="B17" s="113">
        <f>47635.71+0+8418.79</f>
        <v>56054.5</v>
      </c>
      <c r="C17" s="110">
        <f>'Worksheet - Garbage Fund (022)'!E66</f>
        <v>45000</v>
      </c>
      <c r="D17" s="110">
        <f>'Worksheet - Garbage Fund (022)'!F66</f>
        <v>0</v>
      </c>
      <c r="E17" s="110">
        <f>'Worksheet - Garbage Fund (022)'!G66</f>
        <v>70051.899999999994</v>
      </c>
      <c r="F17" s="110">
        <f>'Worksheet - Garbage Fund (022)'!H66</f>
        <v>70101.954545454544</v>
      </c>
      <c r="G17" s="110">
        <f>'Worksheet - Garbage Fund (022)'!I66</f>
        <v>62500</v>
      </c>
      <c r="H17" s="40"/>
    </row>
    <row r="18" spans="1:8">
      <c r="A18" s="95" t="s">
        <v>798</v>
      </c>
      <c r="B18" s="113">
        <v>51578.080000000002</v>
      </c>
      <c r="C18" s="110">
        <v>0</v>
      </c>
      <c r="D18" s="110">
        <v>0</v>
      </c>
      <c r="E18" s="110">
        <v>20953.52</v>
      </c>
      <c r="F18" s="110">
        <v>28000</v>
      </c>
      <c r="G18" s="110">
        <v>28000</v>
      </c>
      <c r="H18" s="41"/>
    </row>
    <row r="19" spans="1:8">
      <c r="A19" s="95" t="s">
        <v>11</v>
      </c>
      <c r="B19" s="113">
        <v>0</v>
      </c>
      <c r="C19" s="110">
        <f>'Worksheet - Garbage Fund (022)'!E71</f>
        <v>34884</v>
      </c>
      <c r="D19" s="110">
        <f>'Worksheet - Garbage Fund (022)'!F71</f>
        <v>0</v>
      </c>
      <c r="E19" s="110">
        <f>'Worksheet - Garbage Fund (022)'!G71</f>
        <v>9297.02</v>
      </c>
      <c r="F19" s="110">
        <f>'Worksheet - Garbage Fund (022)'!H71</f>
        <v>26162.82</v>
      </c>
      <c r="G19" s="110">
        <f>'Worksheet - Garbage Fund (022)'!I71</f>
        <v>26163</v>
      </c>
      <c r="H19" s="40"/>
    </row>
    <row r="20" spans="1:8">
      <c r="A20" s="95" t="s">
        <v>30</v>
      </c>
      <c r="B20" s="113">
        <v>34884</v>
      </c>
      <c r="C20" s="110">
        <f>'Worksheet - Garbage Fund (022)'!E75</f>
        <v>0</v>
      </c>
      <c r="D20" s="110">
        <f>'Worksheet - Garbage Fund (022)'!F75</f>
        <v>0</v>
      </c>
      <c r="E20" s="110">
        <f>'Worksheet - Garbage Fund (022)'!G75</f>
        <v>2930.31</v>
      </c>
      <c r="F20" s="110">
        <f>'Worksheet - Garbage Fund (022)'!H75</f>
        <v>37162</v>
      </c>
      <c r="G20" s="110">
        <f>'Worksheet - Garbage Fund (022)'!I75</f>
        <v>0</v>
      </c>
      <c r="H20" s="40"/>
    </row>
    <row r="21" spans="1:8" ht="15.75" thickBot="1">
      <c r="A21" s="108" t="s">
        <v>2</v>
      </c>
      <c r="B21" s="111">
        <f>SUM(B13:B20)</f>
        <v>557633.1100000001</v>
      </c>
      <c r="C21" s="111">
        <f>SUM(C13:C20)</f>
        <v>551797</v>
      </c>
      <c r="D21" s="111">
        <f t="shared" ref="D21:G21" si="1">SUM(D13:D20)</f>
        <v>0</v>
      </c>
      <c r="E21" s="111">
        <f t="shared" si="1"/>
        <v>506878.60000000003</v>
      </c>
      <c r="F21" s="111">
        <f t="shared" si="1"/>
        <v>586768.60035090905</v>
      </c>
      <c r="G21" s="111">
        <f t="shared" si="1"/>
        <v>576667.75</v>
      </c>
      <c r="H21" s="43"/>
    </row>
    <row r="22" spans="1:8" ht="15.75" thickTop="1"/>
    <row r="23" spans="1:8" s="3" customFormat="1" ht="27" thickBot="1">
      <c r="A23" s="90" t="s">
        <v>867</v>
      </c>
      <c r="B23" s="132">
        <f>B9-B21</f>
        <v>72028.129999999888</v>
      </c>
      <c r="C23" s="132">
        <f>C9-C21</f>
        <v>103203</v>
      </c>
      <c r="D23" s="132"/>
      <c r="E23" s="132">
        <f>E9-E21</f>
        <v>128788.19</v>
      </c>
      <c r="F23" s="132">
        <f>F9-F21</f>
        <v>106144.6941945455</v>
      </c>
      <c r="G23" s="132">
        <f>G9-G21</f>
        <v>65832.25</v>
      </c>
      <c r="H23" s="138"/>
    </row>
    <row r="24" spans="1:8" ht="15.75" thickTop="1">
      <c r="A24" s="29"/>
      <c r="B24" s="115"/>
      <c r="C24" s="115"/>
      <c r="D24" s="115"/>
      <c r="E24" s="115"/>
      <c r="F24" s="115"/>
      <c r="G24" s="115"/>
    </row>
    <row r="25" spans="1:8">
      <c r="A25" s="18" t="s">
        <v>868</v>
      </c>
      <c r="B25" s="115"/>
      <c r="C25" s="115"/>
      <c r="D25" s="115"/>
      <c r="E25" s="115"/>
      <c r="F25" s="115"/>
      <c r="G25" s="115"/>
    </row>
    <row r="26" spans="1:8">
      <c r="A26" s="95" t="s">
        <v>3</v>
      </c>
      <c r="B26" s="110">
        <v>109300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</row>
    <row r="27" spans="1:8">
      <c r="A27" s="95" t="s">
        <v>4</v>
      </c>
      <c r="B27" s="110">
        <v>0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</row>
    <row r="28" spans="1:8">
      <c r="A28" s="95" t="s">
        <v>5</v>
      </c>
      <c r="B28" s="110">
        <v>-255015</v>
      </c>
      <c r="C28" s="110">
        <v>0</v>
      </c>
      <c r="D28" s="110">
        <v>0</v>
      </c>
      <c r="E28" s="110">
        <v>0</v>
      </c>
      <c r="F28" s="110">
        <v>0</v>
      </c>
      <c r="G28" s="110">
        <v>-100000</v>
      </c>
      <c r="H28" s="5"/>
    </row>
    <row r="29" spans="1:8" s="3" customFormat="1" ht="15.75" thickBot="1">
      <c r="A29" s="18" t="s">
        <v>869</v>
      </c>
      <c r="B29" s="111">
        <f>SUM(B26:B28)</f>
        <v>-145715</v>
      </c>
      <c r="C29" s="111">
        <f>SUM(C26:C28)</f>
        <v>0</v>
      </c>
      <c r="D29" s="111"/>
      <c r="E29" s="111">
        <f>SUM(E26:E28)</f>
        <v>0</v>
      </c>
      <c r="F29" s="111">
        <f>SUM(F26:F28)</f>
        <v>0</v>
      </c>
      <c r="G29" s="111">
        <f>SUM(G26:G28)</f>
        <v>-100000</v>
      </c>
      <c r="H29" s="8"/>
    </row>
    <row r="30" spans="1:8" ht="15.75" thickTop="1">
      <c r="A30" s="29"/>
      <c r="B30" s="115"/>
      <c r="C30" s="115"/>
      <c r="D30" s="115"/>
      <c r="E30" s="115"/>
      <c r="F30" s="115"/>
      <c r="G30" s="115"/>
    </row>
    <row r="31" spans="1:8" ht="39">
      <c r="A31" s="90" t="s">
        <v>871</v>
      </c>
      <c r="B31" s="137">
        <f>B23+B29</f>
        <v>-73686.870000000112</v>
      </c>
      <c r="C31" s="137">
        <f>C23+C29</f>
        <v>103203</v>
      </c>
      <c r="D31" s="137">
        <v>0</v>
      </c>
      <c r="E31" s="137">
        <f>E23+E29</f>
        <v>128788.19</v>
      </c>
      <c r="F31" s="137">
        <f>F23+F29</f>
        <v>106144.6941945455</v>
      </c>
      <c r="G31" s="137">
        <f>G23+G29</f>
        <v>-34167.75</v>
      </c>
      <c r="H31" s="5"/>
    </row>
    <row r="32" spans="1:8">
      <c r="A32" s="90" t="s">
        <v>935</v>
      </c>
      <c r="B32" s="166">
        <v>33231</v>
      </c>
      <c r="C32" s="166">
        <v>25621</v>
      </c>
      <c r="D32" s="166">
        <f t="shared" ref="D32" si="2">D22+D29</f>
        <v>0</v>
      </c>
      <c r="E32" s="166">
        <v>2930</v>
      </c>
      <c r="F32" s="166">
        <v>37162</v>
      </c>
      <c r="G32" s="166">
        <v>0</v>
      </c>
    </row>
    <row r="33" spans="1:8" ht="15.75" thickBot="1">
      <c r="A33" s="90"/>
      <c r="B33" s="111">
        <f>SUM(B31:B32)</f>
        <v>-40455.870000000112</v>
      </c>
      <c r="C33" s="111">
        <f t="shared" ref="C33:G33" si="3">SUM(C31:C32)</f>
        <v>128824</v>
      </c>
      <c r="D33" s="111">
        <f t="shared" si="3"/>
        <v>0</v>
      </c>
      <c r="E33" s="111">
        <f t="shared" si="3"/>
        <v>131718.19</v>
      </c>
      <c r="F33" s="111">
        <f t="shared" si="3"/>
        <v>143306.6941945455</v>
      </c>
      <c r="G33" s="111">
        <f t="shared" si="3"/>
        <v>-34167.75</v>
      </c>
    </row>
    <row r="34" spans="1:8" ht="15.75" thickTop="1">
      <c r="A34" s="29"/>
      <c r="B34" s="115"/>
      <c r="C34" s="115"/>
      <c r="D34" s="115"/>
      <c r="E34" s="115"/>
      <c r="F34" s="115"/>
      <c r="G34" s="115"/>
    </row>
    <row r="35" spans="1:8">
      <c r="A35" s="95" t="s">
        <v>7</v>
      </c>
      <c r="B35" s="110">
        <v>581257</v>
      </c>
      <c r="C35" s="110">
        <f>B36</f>
        <v>540801.12999999989</v>
      </c>
      <c r="D35" s="110">
        <v>0</v>
      </c>
      <c r="E35" s="110">
        <f>B36</f>
        <v>540801.12999999989</v>
      </c>
      <c r="F35" s="110">
        <f>B36</f>
        <v>540801.12999999989</v>
      </c>
      <c r="G35" s="110">
        <f>F36</f>
        <v>684107.82419454539</v>
      </c>
      <c r="H35" s="5"/>
    </row>
    <row r="36" spans="1:8" ht="15.75" thickBot="1">
      <c r="A36" s="87" t="s">
        <v>873</v>
      </c>
      <c r="B36" s="111">
        <f>B35+B33</f>
        <v>540801.12999999989</v>
      </c>
      <c r="C36" s="111">
        <f t="shared" ref="C36:G36" si="4">C35+C33</f>
        <v>669625.12999999989</v>
      </c>
      <c r="D36" s="111">
        <f t="shared" si="4"/>
        <v>0</v>
      </c>
      <c r="E36" s="111">
        <f t="shared" si="4"/>
        <v>672519.31999999983</v>
      </c>
      <c r="F36" s="111">
        <f t="shared" si="4"/>
        <v>684107.82419454539</v>
      </c>
      <c r="G36" s="111">
        <f t="shared" si="4"/>
        <v>649940.07419454539</v>
      </c>
      <c r="H36" s="8"/>
    </row>
    <row r="37" spans="1:8" ht="15.75" thickTop="1">
      <c r="A37" s="29"/>
      <c r="B37" s="115"/>
      <c r="C37" s="115"/>
      <c r="D37" s="115"/>
      <c r="E37" s="115"/>
      <c r="F37" s="115"/>
      <c r="G37" s="115"/>
    </row>
    <row r="38" spans="1:8">
      <c r="A38" s="29"/>
      <c r="B38" s="115"/>
      <c r="C38" s="115"/>
      <c r="D38" s="115"/>
      <c r="E38" s="115"/>
      <c r="F38" s="115"/>
      <c r="G38" s="115"/>
    </row>
    <row r="39" spans="1:8">
      <c r="A39" s="29"/>
      <c r="B39" s="115"/>
      <c r="C39" s="115"/>
      <c r="D39" s="115"/>
      <c r="E39" s="115"/>
      <c r="F39" s="115"/>
      <c r="G39" s="115"/>
    </row>
    <row r="40" spans="1:8">
      <c r="A40" s="87" t="s">
        <v>874</v>
      </c>
      <c r="B40" s="115"/>
      <c r="C40" s="115"/>
      <c r="D40" s="115"/>
      <c r="E40" s="115"/>
      <c r="F40" s="115"/>
      <c r="G40" s="115"/>
    </row>
    <row r="41" spans="1:8">
      <c r="A41" s="87"/>
      <c r="B41" s="115"/>
      <c r="C41" s="115"/>
      <c r="D41" s="115"/>
      <c r="E41" s="115"/>
      <c r="F41" s="115"/>
      <c r="G41" s="115"/>
    </row>
    <row r="42" spans="1:8">
      <c r="A42" s="87" t="s">
        <v>875</v>
      </c>
      <c r="B42" s="110"/>
      <c r="C42" s="110"/>
      <c r="D42" s="110"/>
      <c r="E42" s="110"/>
      <c r="F42" s="110"/>
      <c r="G42" s="110"/>
    </row>
    <row r="43" spans="1:8">
      <c r="A43" s="95" t="s">
        <v>8</v>
      </c>
      <c r="B43" s="110">
        <v>0</v>
      </c>
      <c r="C43" s="110">
        <v>0</v>
      </c>
      <c r="D43" s="110">
        <v>0</v>
      </c>
      <c r="E43" s="110">
        <v>0</v>
      </c>
      <c r="F43" s="110">
        <v>0</v>
      </c>
      <c r="G43" s="110">
        <v>0</v>
      </c>
    </row>
    <row r="44" spans="1:8">
      <c r="A44" s="95" t="s">
        <v>9</v>
      </c>
      <c r="B44" s="110">
        <v>0</v>
      </c>
      <c r="C44" s="110">
        <v>0</v>
      </c>
      <c r="D44" s="110">
        <v>0</v>
      </c>
      <c r="E44" s="110">
        <v>0</v>
      </c>
      <c r="F44" s="110">
        <v>0</v>
      </c>
      <c r="G44" s="110">
        <v>0</v>
      </c>
    </row>
    <row r="45" spans="1:8">
      <c r="A45" s="95" t="s">
        <v>796</v>
      </c>
      <c r="B45" s="110">
        <v>0</v>
      </c>
      <c r="C45" s="110">
        <v>0</v>
      </c>
      <c r="D45" s="110">
        <v>0</v>
      </c>
      <c r="E45" s="110">
        <v>0</v>
      </c>
      <c r="F45" s="110">
        <v>0</v>
      </c>
      <c r="G45" s="110">
        <v>0</v>
      </c>
    </row>
    <row r="46" spans="1:8">
      <c r="A46" s="95" t="s">
        <v>797</v>
      </c>
      <c r="B46" s="110">
        <v>0</v>
      </c>
      <c r="C46" s="110">
        <v>0</v>
      </c>
      <c r="D46" s="110">
        <f>D9*0.15</f>
        <v>0</v>
      </c>
      <c r="E46" s="110">
        <v>0</v>
      </c>
      <c r="F46" s="110">
        <v>95157</v>
      </c>
      <c r="G46" s="110">
        <v>0</v>
      </c>
    </row>
    <row r="47" spans="1:8" s="3" customFormat="1">
      <c r="A47" s="87" t="s">
        <v>876</v>
      </c>
      <c r="B47" s="135">
        <f t="shared" ref="B47:G47" si="5">SUM(B42:B46)</f>
        <v>0</v>
      </c>
      <c r="C47" s="135">
        <f t="shared" si="5"/>
        <v>0</v>
      </c>
      <c r="D47" s="135">
        <f t="shared" si="5"/>
        <v>0</v>
      </c>
      <c r="E47" s="135">
        <f t="shared" si="5"/>
        <v>0</v>
      </c>
      <c r="F47" s="135">
        <f t="shared" si="5"/>
        <v>95157</v>
      </c>
      <c r="G47" s="135">
        <f t="shared" si="5"/>
        <v>0</v>
      </c>
    </row>
    <row r="48" spans="1:8">
      <c r="A48" s="29"/>
      <c r="B48" s="134"/>
      <c r="C48" s="134"/>
      <c r="D48" s="134"/>
      <c r="E48" s="134"/>
      <c r="F48" s="134"/>
      <c r="G48" s="134"/>
    </row>
    <row r="49" spans="1:12" ht="15.75" thickBot="1">
      <c r="A49" s="87" t="s">
        <v>877</v>
      </c>
      <c r="B49" s="111">
        <f>B36-B47</f>
        <v>540801.12999999989</v>
      </c>
      <c r="C49" s="111">
        <f>C36-C47</f>
        <v>669625.12999999989</v>
      </c>
      <c r="D49" s="111">
        <f t="shared" ref="D49:G49" si="6">D36-D47</f>
        <v>0</v>
      </c>
      <c r="E49" s="111">
        <f t="shared" si="6"/>
        <v>672519.31999999983</v>
      </c>
      <c r="F49" s="111">
        <f t="shared" si="6"/>
        <v>588950.82419454539</v>
      </c>
      <c r="G49" s="111">
        <f t="shared" si="6"/>
        <v>649940.07419454539</v>
      </c>
      <c r="H49" s="44"/>
    </row>
    <row r="50" spans="1:12" ht="15.75" thickTop="1">
      <c r="A50" s="29"/>
      <c r="B50" s="29"/>
      <c r="C50" s="29"/>
      <c r="D50" s="29"/>
      <c r="E50" s="29"/>
      <c r="F50" s="29"/>
      <c r="G50" s="29"/>
    </row>
    <row r="51" spans="1:12">
      <c r="A51" s="116" t="s">
        <v>31</v>
      </c>
      <c r="B51" s="89">
        <f>(B49/B9)</f>
        <v>0.85887632213156384</v>
      </c>
      <c r="C51" s="89">
        <f t="shared" ref="C51:G51" si="7">(C49/C9)</f>
        <v>1.0223284427480914</v>
      </c>
      <c r="D51" s="89">
        <v>0</v>
      </c>
      <c r="E51" s="89">
        <f t="shared" si="7"/>
        <v>1.0579746033295208</v>
      </c>
      <c r="F51" s="89">
        <f t="shared" si="7"/>
        <v>0.84996323325112744</v>
      </c>
      <c r="G51" s="89">
        <f t="shared" si="7"/>
        <v>1.0115798820148567</v>
      </c>
      <c r="H51" s="129"/>
      <c r="I51" s="129"/>
      <c r="J51" s="129"/>
      <c r="K51" s="129"/>
      <c r="L51" s="129"/>
    </row>
    <row r="53" spans="1:12">
      <c r="A53" s="33" t="s">
        <v>6</v>
      </c>
    </row>
  </sheetData>
  <mergeCells count="2">
    <mergeCell ref="A1:G1"/>
    <mergeCell ref="A2:G2"/>
  </mergeCells>
  <pageMargins left="0.75" right="0.75" top="0.5" bottom="1" header="0.3" footer="0.3"/>
  <pageSetup scale="6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8"/>
  <sheetViews>
    <sheetView topLeftCell="A43" workbookViewId="0">
      <selection activeCell="I71" sqref="I71"/>
    </sheetView>
  </sheetViews>
  <sheetFormatPr defaultColWidth="8.85546875" defaultRowHeight="15"/>
  <cols>
    <col min="1" max="1" width="10.7109375" style="29" customWidth="1"/>
    <col min="2" max="2" width="5.7109375" style="29" customWidth="1"/>
    <col min="3" max="3" width="35.7109375" style="29" customWidth="1"/>
    <col min="4" max="4" width="5.7109375" style="29" customWidth="1"/>
    <col min="5" max="7" width="15.7109375" style="31" customWidth="1"/>
    <col min="8" max="8" width="15.7109375" style="31" hidden="1" customWidth="1"/>
    <col min="9" max="9" width="15.7109375" style="31" customWidth="1"/>
    <col min="10" max="10" width="32.7109375" style="31" hidden="1" customWidth="1"/>
    <col min="11" max="11" width="26.28515625" style="29" customWidth="1"/>
    <col min="12" max="12" width="8.85546875" style="29"/>
  </cols>
  <sheetData>
    <row r="1" spans="1:12">
      <c r="A1" s="251" t="s">
        <v>891</v>
      </c>
      <c r="B1" s="251"/>
      <c r="C1" s="251"/>
      <c r="D1" s="251"/>
      <c r="E1" s="251"/>
      <c r="F1" s="251"/>
      <c r="G1" s="251"/>
      <c r="I1" s="29"/>
      <c r="J1" s="29"/>
    </row>
    <row r="2" spans="1:12">
      <c r="A2" s="107"/>
      <c r="B2" s="107"/>
      <c r="C2" s="107"/>
      <c r="D2" s="107"/>
      <c r="E2" s="107"/>
      <c r="F2" s="107"/>
      <c r="G2" s="107"/>
      <c r="I2" s="29"/>
      <c r="J2" s="29"/>
    </row>
    <row r="3" spans="1:12">
      <c r="E3" s="63">
        <v>2019</v>
      </c>
      <c r="F3" s="63">
        <v>2019</v>
      </c>
      <c r="G3" s="51">
        <v>2019</v>
      </c>
      <c r="H3" s="51">
        <v>2019</v>
      </c>
      <c r="I3" s="64" t="s">
        <v>839</v>
      </c>
      <c r="J3" s="52" t="s">
        <v>887</v>
      </c>
    </row>
    <row r="4" spans="1:12">
      <c r="E4" s="66" t="s">
        <v>862</v>
      </c>
      <c r="F4" s="66" t="s">
        <v>863</v>
      </c>
      <c r="G4" s="66" t="s">
        <v>1147</v>
      </c>
      <c r="H4" s="66" t="s">
        <v>909</v>
      </c>
      <c r="I4" s="67" t="s">
        <v>826</v>
      </c>
      <c r="J4" s="18"/>
    </row>
    <row r="5" spans="1:12">
      <c r="A5" s="19"/>
      <c r="B5" s="19"/>
      <c r="C5" s="20"/>
      <c r="D5" s="20"/>
      <c r="E5" s="20"/>
      <c r="F5" s="29"/>
      <c r="G5" s="29"/>
      <c r="H5" s="29"/>
      <c r="I5" s="29"/>
      <c r="J5" s="29"/>
    </row>
    <row r="6" spans="1:12">
      <c r="A6" s="251" t="s">
        <v>893</v>
      </c>
      <c r="B6" s="251"/>
      <c r="C6" s="251"/>
      <c r="D6" s="251"/>
      <c r="E6" s="251"/>
      <c r="F6" s="251"/>
      <c r="G6" s="29"/>
      <c r="H6" s="29"/>
      <c r="I6" s="29"/>
      <c r="J6" s="29"/>
    </row>
    <row r="7" spans="1:12">
      <c r="A7" s="107"/>
      <c r="B7" s="107"/>
      <c r="C7" s="107"/>
      <c r="D7" s="107"/>
      <c r="E7" s="107"/>
      <c r="F7" s="107"/>
      <c r="G7" s="29"/>
      <c r="H7" s="29"/>
      <c r="I7" s="29"/>
      <c r="J7" s="29"/>
    </row>
    <row r="8" spans="1:12">
      <c r="C8" s="18" t="s">
        <v>528</v>
      </c>
    </row>
    <row r="9" spans="1:12">
      <c r="A9" s="29" t="s">
        <v>747</v>
      </c>
      <c r="C9" s="95" t="s">
        <v>746</v>
      </c>
      <c r="E9" s="30">
        <v>625000</v>
      </c>
      <c r="F9" s="30">
        <v>0</v>
      </c>
      <c r="G9" s="30">
        <v>622465.27</v>
      </c>
      <c r="H9" s="30">
        <f>(G9/11)*12</f>
        <v>679053.02181818185</v>
      </c>
      <c r="I9" s="30">
        <v>625000</v>
      </c>
      <c r="J9" s="29"/>
    </row>
    <row r="10" spans="1:12">
      <c r="A10" s="29" t="s">
        <v>748</v>
      </c>
      <c r="C10" s="95" t="s">
        <v>749</v>
      </c>
      <c r="E10" s="30">
        <v>0</v>
      </c>
      <c r="F10" s="30">
        <v>0</v>
      </c>
      <c r="G10" s="30">
        <v>162.25</v>
      </c>
      <c r="H10" s="30">
        <f>(G10/11)*12</f>
        <v>177</v>
      </c>
      <c r="I10" s="30">
        <v>0</v>
      </c>
      <c r="J10" s="29"/>
    </row>
    <row r="11" spans="1:12" s="3" customFormat="1" ht="15.75" thickBot="1">
      <c r="A11" s="18"/>
      <c r="B11" s="18"/>
      <c r="C11" s="18" t="s">
        <v>750</v>
      </c>
      <c r="D11" s="18"/>
      <c r="E11" s="99">
        <f>SUM(E9:E10)</f>
        <v>625000</v>
      </c>
      <c r="F11" s="99">
        <f t="shared" ref="F11:I11" si="0">SUM(F9:F10)</f>
        <v>0</v>
      </c>
      <c r="G11" s="99">
        <f>SUM(G9:G10)</f>
        <v>622627.52</v>
      </c>
      <c r="H11" s="99">
        <f t="shared" si="0"/>
        <v>679230.02181818185</v>
      </c>
      <c r="I11" s="99">
        <f t="shared" si="0"/>
        <v>625000</v>
      </c>
      <c r="J11" s="18"/>
      <c r="K11" s="18"/>
      <c r="L11" s="18"/>
    </row>
    <row r="12" spans="1:12" ht="15.75" thickTop="1">
      <c r="J12" s="29"/>
    </row>
    <row r="13" spans="1:12">
      <c r="C13" s="18" t="s">
        <v>885</v>
      </c>
      <c r="J13" s="29"/>
    </row>
    <row r="14" spans="1:12">
      <c r="A14" s="29" t="s">
        <v>795</v>
      </c>
      <c r="C14" s="95" t="s">
        <v>189</v>
      </c>
      <c r="E14" s="30">
        <v>0</v>
      </c>
      <c r="F14" s="126">
        <v>0</v>
      </c>
      <c r="G14" s="30">
        <v>1342</v>
      </c>
      <c r="H14" s="30">
        <f>(G14/11)*12</f>
        <v>1464</v>
      </c>
      <c r="I14" s="30">
        <v>0</v>
      </c>
      <c r="J14" s="29"/>
    </row>
    <row r="15" spans="1:12">
      <c r="A15" s="29" t="s">
        <v>827</v>
      </c>
      <c r="C15" s="95" t="s">
        <v>828</v>
      </c>
      <c r="E15" s="30">
        <v>0</v>
      </c>
      <c r="F15" s="126">
        <v>0</v>
      </c>
      <c r="G15" s="30">
        <v>5957.77</v>
      </c>
      <c r="H15" s="30">
        <v>5958</v>
      </c>
      <c r="I15" s="30">
        <v>0</v>
      </c>
      <c r="J15" s="29"/>
    </row>
    <row r="16" spans="1:12">
      <c r="A16" s="29" t="s">
        <v>754</v>
      </c>
      <c r="C16" s="95" t="s">
        <v>751</v>
      </c>
      <c r="E16" s="30">
        <v>5000</v>
      </c>
      <c r="F16" s="126">
        <v>0</v>
      </c>
      <c r="G16" s="30">
        <v>5739.5</v>
      </c>
      <c r="H16" s="30">
        <f>(G16/11)*12</f>
        <v>6261.272727272727</v>
      </c>
      <c r="I16" s="30">
        <v>5000</v>
      </c>
      <c r="J16" s="29"/>
    </row>
    <row r="17" spans="1:12" s="4" customFormat="1">
      <c r="A17" s="33" t="s">
        <v>752</v>
      </c>
      <c r="B17" s="33"/>
      <c r="C17" s="93" t="s">
        <v>753</v>
      </c>
      <c r="D17" s="33"/>
      <c r="E17" s="47">
        <v>25000</v>
      </c>
      <c r="F17" s="200">
        <v>0</v>
      </c>
      <c r="G17" s="47">
        <v>0</v>
      </c>
      <c r="H17" s="47">
        <f>(G17/11)*12</f>
        <v>0</v>
      </c>
      <c r="I17" s="47">
        <v>12500</v>
      </c>
      <c r="J17" s="33" t="s">
        <v>892</v>
      </c>
      <c r="K17" s="33"/>
      <c r="L17" s="33"/>
    </row>
    <row r="18" spans="1:12" s="3" customFormat="1" ht="15.75" thickBot="1">
      <c r="A18" s="18"/>
      <c r="B18" s="18"/>
      <c r="C18" s="18" t="s">
        <v>1066</v>
      </c>
      <c r="D18" s="18"/>
      <c r="E18" s="99">
        <f>SUM(E14:E17)</f>
        <v>30000</v>
      </c>
      <c r="F18" s="99">
        <f t="shared" ref="F18:I18" si="1">SUM(F14:F17)</f>
        <v>0</v>
      </c>
      <c r="G18" s="99">
        <f t="shared" si="1"/>
        <v>13039.27</v>
      </c>
      <c r="H18" s="99">
        <f t="shared" si="1"/>
        <v>13683.272727272728</v>
      </c>
      <c r="I18" s="99">
        <f t="shared" si="1"/>
        <v>17500</v>
      </c>
      <c r="J18" s="18"/>
      <c r="K18" s="18"/>
      <c r="L18" s="18"/>
    </row>
    <row r="19" spans="1:12" ht="15.75" thickTop="1"/>
    <row r="20" spans="1:12" s="3" customFormat="1" ht="15.75" thickBot="1">
      <c r="A20" s="18" t="s">
        <v>1073</v>
      </c>
      <c r="B20" s="18"/>
      <c r="C20" s="18"/>
      <c r="D20" s="18"/>
      <c r="E20" s="36">
        <f>E11+E18</f>
        <v>655000</v>
      </c>
      <c r="F20" s="36">
        <f t="shared" ref="F20:I20" si="2">F11+F18</f>
        <v>0</v>
      </c>
      <c r="G20" s="36">
        <f t="shared" si="2"/>
        <v>635666.79</v>
      </c>
      <c r="H20" s="36">
        <f t="shared" si="2"/>
        <v>692913.29454545456</v>
      </c>
      <c r="I20" s="36">
        <f t="shared" si="2"/>
        <v>642500</v>
      </c>
      <c r="J20" s="18"/>
      <c r="K20" s="18"/>
      <c r="L20" s="18"/>
    </row>
    <row r="21" spans="1:12" ht="15.75" thickTop="1">
      <c r="A21" s="117"/>
      <c r="B21" s="117"/>
      <c r="C21" s="117"/>
      <c r="D21" s="18"/>
      <c r="E21" s="125"/>
      <c r="F21" s="125"/>
      <c r="G21" s="125"/>
      <c r="H21" s="125"/>
      <c r="I21" s="125"/>
      <c r="J21" s="29"/>
    </row>
    <row r="22" spans="1:12">
      <c r="E22" s="98"/>
      <c r="F22" s="98"/>
      <c r="G22" s="98"/>
      <c r="H22" s="98"/>
      <c r="I22" s="98"/>
      <c r="J22" s="98"/>
    </row>
    <row r="23" spans="1:12">
      <c r="A23" s="251" t="s">
        <v>896</v>
      </c>
      <c r="B23" s="251"/>
      <c r="C23" s="251"/>
      <c r="D23" s="251"/>
      <c r="E23" s="251"/>
      <c r="F23" s="251"/>
      <c r="G23" s="251"/>
      <c r="H23" s="251"/>
      <c r="I23" s="251"/>
      <c r="J23" s="29"/>
    </row>
    <row r="24" spans="1:12">
      <c r="A24" s="107"/>
      <c r="B24" s="107"/>
      <c r="C24" s="107"/>
      <c r="D24" s="107"/>
      <c r="E24" s="107"/>
      <c r="F24" s="107"/>
      <c r="G24" s="107"/>
      <c r="H24" s="107"/>
      <c r="I24" s="107"/>
      <c r="J24" s="29"/>
    </row>
    <row r="25" spans="1:12" ht="15" customHeight="1">
      <c r="C25" s="18" t="s">
        <v>22</v>
      </c>
      <c r="E25" s="30"/>
      <c r="F25" s="30"/>
      <c r="G25" s="30"/>
      <c r="H25" s="30"/>
      <c r="I25" s="30"/>
      <c r="J25" s="30"/>
    </row>
    <row r="26" spans="1:12" ht="15" customHeight="1">
      <c r="C26" s="123" t="s">
        <v>196</v>
      </c>
      <c r="E26" s="30"/>
      <c r="F26" s="30"/>
      <c r="G26" s="30"/>
      <c r="H26" s="30"/>
      <c r="I26" s="30"/>
      <c r="J26" s="29"/>
      <c r="L26"/>
    </row>
    <row r="27" spans="1:12" s="4" customFormat="1">
      <c r="A27" s="37" t="s">
        <v>554</v>
      </c>
      <c r="B27" s="37"/>
      <c r="C27" s="168" t="s">
        <v>196</v>
      </c>
      <c r="D27" s="37"/>
      <c r="E27" s="140">
        <v>120000</v>
      </c>
      <c r="F27" s="140">
        <v>0</v>
      </c>
      <c r="G27" s="46">
        <v>104159.89</v>
      </c>
      <c r="H27" s="47">
        <v>103891.69</v>
      </c>
      <c r="I27" s="169">
        <v>102000</v>
      </c>
      <c r="J27" s="37" t="s">
        <v>6</v>
      </c>
      <c r="K27" s="33"/>
    </row>
    <row r="28" spans="1:12" s="4" customFormat="1">
      <c r="A28" s="37" t="s">
        <v>555</v>
      </c>
      <c r="B28" s="37"/>
      <c r="C28" s="168" t="s">
        <v>556</v>
      </c>
      <c r="D28" s="37"/>
      <c r="E28" s="140">
        <v>62000</v>
      </c>
      <c r="F28" s="140">
        <v>0</v>
      </c>
      <c r="G28" s="46">
        <v>68487.009999999995</v>
      </c>
      <c r="H28" s="47">
        <v>69115.960000000006</v>
      </c>
      <c r="I28" s="169">
        <v>65000</v>
      </c>
      <c r="J28" s="37" t="s">
        <v>6</v>
      </c>
      <c r="K28" s="33"/>
    </row>
    <row r="29" spans="1:12" s="4" customFormat="1">
      <c r="A29" s="37" t="s">
        <v>557</v>
      </c>
      <c r="B29" s="37"/>
      <c r="C29" s="168" t="s">
        <v>17</v>
      </c>
      <c r="D29" s="37"/>
      <c r="E29" s="140">
        <v>1500</v>
      </c>
      <c r="F29" s="140">
        <v>0</v>
      </c>
      <c r="G29" s="46">
        <v>5202.79</v>
      </c>
      <c r="H29" s="47">
        <v>6231.19</v>
      </c>
      <c r="I29" s="169">
        <v>6500</v>
      </c>
      <c r="J29" s="37" t="s">
        <v>6</v>
      </c>
      <c r="K29" s="33"/>
    </row>
    <row r="30" spans="1:12" s="3" customFormat="1" ht="15.75" thickBot="1">
      <c r="A30" s="9"/>
      <c r="B30" s="9"/>
      <c r="C30" s="9" t="s">
        <v>959</v>
      </c>
      <c r="D30" s="9"/>
      <c r="E30" s="35">
        <f>SUM(E27:E29)</f>
        <v>183500</v>
      </c>
      <c r="F30" s="35">
        <f t="shared" ref="F30:I30" si="3">SUM(F27:F29)</f>
        <v>0</v>
      </c>
      <c r="G30" s="35">
        <f t="shared" si="3"/>
        <v>177849.69</v>
      </c>
      <c r="H30" s="35">
        <f t="shared" si="3"/>
        <v>179238.84000000003</v>
      </c>
      <c r="I30" s="35">
        <f t="shared" si="3"/>
        <v>173500</v>
      </c>
      <c r="J30" s="18"/>
      <c r="K30" s="18"/>
    </row>
    <row r="31" spans="1:12" ht="15.75" thickTop="1">
      <c r="C31" s="123" t="s">
        <v>197</v>
      </c>
      <c r="J31" s="29"/>
      <c r="L31"/>
    </row>
    <row r="32" spans="1:12" s="4" customFormat="1">
      <c r="A32" s="37" t="s">
        <v>220</v>
      </c>
      <c r="B32" s="37"/>
      <c r="C32" s="168" t="s">
        <v>221</v>
      </c>
      <c r="D32" s="37"/>
      <c r="E32" s="39">
        <v>9175</v>
      </c>
      <c r="F32" s="39">
        <v>0</v>
      </c>
      <c r="G32" s="39">
        <v>2314.96</v>
      </c>
      <c r="H32" s="47">
        <f>(G32/11)*12</f>
        <v>2525.4109090909092</v>
      </c>
      <c r="I32" s="39">
        <v>2500</v>
      </c>
      <c r="J32" s="145"/>
      <c r="K32" s="33"/>
    </row>
    <row r="33" spans="1:12" s="4" customFormat="1">
      <c r="A33" s="37" t="s">
        <v>558</v>
      </c>
      <c r="B33" s="37"/>
      <c r="C33" s="168" t="s">
        <v>207</v>
      </c>
      <c r="D33" s="37"/>
      <c r="E33" s="39">
        <v>14038</v>
      </c>
      <c r="F33" s="39">
        <v>0</v>
      </c>
      <c r="G33" s="46">
        <v>12770.88</v>
      </c>
      <c r="H33" s="39">
        <f>H30*0.0765</f>
        <v>13711.771260000001</v>
      </c>
      <c r="I33" s="39">
        <f>I30*0.0765</f>
        <v>13272.75</v>
      </c>
      <c r="J33" s="33"/>
      <c r="K33" s="33"/>
    </row>
    <row r="34" spans="1:12" s="4" customFormat="1">
      <c r="A34" s="37" t="s">
        <v>559</v>
      </c>
      <c r="B34" s="37"/>
      <c r="C34" s="168" t="s">
        <v>226</v>
      </c>
      <c r="D34" s="37"/>
      <c r="E34" s="39">
        <v>26000</v>
      </c>
      <c r="F34" s="39">
        <v>0</v>
      </c>
      <c r="G34" s="46">
        <v>14966.18</v>
      </c>
      <c r="H34" s="30">
        <f>(G34/11)*12</f>
        <v>16326.741818181818</v>
      </c>
      <c r="I34" s="39">
        <v>26000</v>
      </c>
      <c r="J34" s="33"/>
      <c r="K34" s="33"/>
    </row>
    <row r="35" spans="1:12">
      <c r="A35" s="19" t="s">
        <v>560</v>
      </c>
      <c r="B35" s="19"/>
      <c r="C35" s="127" t="s">
        <v>230</v>
      </c>
      <c r="D35" s="19"/>
      <c r="E35" s="11">
        <v>29000</v>
      </c>
      <c r="F35" s="11">
        <v>0</v>
      </c>
      <c r="G35" s="45">
        <v>33541.49</v>
      </c>
      <c r="H35" s="30">
        <f>(G35/11)*12</f>
        <v>36590.716363636362</v>
      </c>
      <c r="I35" s="11">
        <v>35000</v>
      </c>
      <c r="J35" s="29"/>
      <c r="L35"/>
    </row>
    <row r="36" spans="1:12" ht="15.75" thickBot="1">
      <c r="A36" s="19"/>
      <c r="B36" s="19"/>
      <c r="C36" s="106" t="s">
        <v>960</v>
      </c>
      <c r="D36" s="19"/>
      <c r="E36" s="12">
        <f>SUM(E32:E35)</f>
        <v>78213</v>
      </c>
      <c r="F36" s="12"/>
      <c r="G36" s="12">
        <f>SUM(G32:G35)</f>
        <v>63593.509999999995</v>
      </c>
      <c r="H36" s="12">
        <f>SUM(H32:H35)</f>
        <v>69154.640350909089</v>
      </c>
      <c r="I36" s="12">
        <f>SUM(I32:I35)</f>
        <v>76772.75</v>
      </c>
      <c r="J36" s="29"/>
      <c r="L36"/>
    </row>
    <row r="37" spans="1:12" s="3" customFormat="1" ht="16.5" thickTop="1" thickBot="1">
      <c r="A37" s="18"/>
      <c r="B37" s="18" t="s">
        <v>6</v>
      </c>
      <c r="C37" s="56" t="s">
        <v>953</v>
      </c>
      <c r="D37" s="18"/>
      <c r="E37" s="36">
        <f>E30+E36</f>
        <v>261713</v>
      </c>
      <c r="F37" s="36">
        <f>F30+F36</f>
        <v>0</v>
      </c>
      <c r="G37" s="36">
        <f>G30+G36</f>
        <v>241443.20000000001</v>
      </c>
      <c r="H37" s="36">
        <f>H30+H36</f>
        <v>248393.48035090911</v>
      </c>
      <c r="I37" s="36">
        <f>I30+I36</f>
        <v>250272.75</v>
      </c>
      <c r="J37" s="18"/>
      <c r="K37" s="18"/>
    </row>
    <row r="38" spans="1:12" ht="15.75" thickTop="1"/>
    <row r="39" spans="1:12">
      <c r="C39" s="18" t="s">
        <v>199</v>
      </c>
    </row>
    <row r="40" spans="1:12" s="4" customFormat="1">
      <c r="A40" s="170" t="s">
        <v>561</v>
      </c>
      <c r="B40" s="37"/>
      <c r="C40" s="92" t="s">
        <v>562</v>
      </c>
      <c r="D40" s="37"/>
      <c r="E40" s="39">
        <v>500</v>
      </c>
      <c r="F40" s="39">
        <v>0</v>
      </c>
      <c r="G40" s="39">
        <v>840.67</v>
      </c>
      <c r="H40" s="30">
        <f>(G40/11)*12</f>
        <v>917.09454545454537</v>
      </c>
      <c r="I40" s="39">
        <v>700</v>
      </c>
      <c r="J40" s="33"/>
      <c r="K40" s="33"/>
    </row>
    <row r="41" spans="1:12" s="3" customFormat="1" ht="15.75" thickBot="1">
      <c r="A41" s="128"/>
      <c r="B41" s="9"/>
      <c r="C41" s="9" t="s">
        <v>954</v>
      </c>
      <c r="D41" s="9"/>
      <c r="E41" s="35">
        <f>SUM(E40:E40)</f>
        <v>500</v>
      </c>
      <c r="F41" s="35">
        <f t="shared" ref="F41:I41" si="4">SUM(F40:F40)</f>
        <v>0</v>
      </c>
      <c r="G41" s="35">
        <f t="shared" si="4"/>
        <v>840.67</v>
      </c>
      <c r="H41" s="35">
        <f t="shared" si="4"/>
        <v>917.09454545454537</v>
      </c>
      <c r="I41" s="35">
        <f t="shared" si="4"/>
        <v>700</v>
      </c>
      <c r="J41" s="18"/>
      <c r="K41" s="18"/>
    </row>
    <row r="42" spans="1:12" ht="15.75" thickTop="1">
      <c r="A42" s="128"/>
      <c r="B42" s="19"/>
      <c r="C42" s="19"/>
      <c r="D42" s="19"/>
      <c r="E42" s="13"/>
      <c r="F42" s="13"/>
      <c r="G42" s="13"/>
      <c r="H42" s="13"/>
      <c r="I42" s="13"/>
      <c r="J42" s="13"/>
    </row>
    <row r="43" spans="1:12">
      <c r="A43" s="128"/>
      <c r="C43" s="18" t="s">
        <v>857</v>
      </c>
    </row>
    <row r="44" spans="1:12">
      <c r="A44" s="19" t="s">
        <v>755</v>
      </c>
      <c r="B44" s="19"/>
      <c r="C44" s="91" t="s">
        <v>756</v>
      </c>
      <c r="D44" s="19"/>
      <c r="E44" s="11">
        <v>0</v>
      </c>
      <c r="F44" s="11">
        <v>0</v>
      </c>
      <c r="G44" s="45">
        <v>0</v>
      </c>
      <c r="H44" s="47">
        <f t="shared" ref="H44" si="5">G44+((G44/9)*3)</f>
        <v>0</v>
      </c>
      <c r="I44" s="11">
        <v>0</v>
      </c>
      <c r="J44" s="19" t="s">
        <v>6</v>
      </c>
      <c r="L44"/>
    </row>
    <row r="45" spans="1:12">
      <c r="A45" s="19" t="s">
        <v>757</v>
      </c>
      <c r="B45" s="19"/>
      <c r="C45" s="91" t="s">
        <v>758</v>
      </c>
      <c r="D45" s="19"/>
      <c r="E45" s="11">
        <v>5000</v>
      </c>
      <c r="F45" s="11">
        <v>0</v>
      </c>
      <c r="G45" s="45">
        <v>6715.5</v>
      </c>
      <c r="H45" s="30">
        <f>(G45/11)*12</f>
        <v>7326</v>
      </c>
      <c r="I45" s="11">
        <v>5000</v>
      </c>
      <c r="J45" s="19" t="s">
        <v>6</v>
      </c>
      <c r="L45"/>
    </row>
    <row r="46" spans="1:12" s="4" customFormat="1">
      <c r="A46" s="37" t="s">
        <v>759</v>
      </c>
      <c r="B46" s="37"/>
      <c r="C46" s="92" t="s">
        <v>760</v>
      </c>
      <c r="D46" s="37"/>
      <c r="E46" s="39">
        <v>75000</v>
      </c>
      <c r="F46" s="39">
        <v>0</v>
      </c>
      <c r="G46" s="46">
        <v>52361.25</v>
      </c>
      <c r="H46" s="30">
        <f>(G46/11)*12</f>
        <v>57121.363636363632</v>
      </c>
      <c r="I46" s="39">
        <v>75000</v>
      </c>
      <c r="J46" s="37" t="s">
        <v>6</v>
      </c>
      <c r="K46" s="33"/>
    </row>
    <row r="47" spans="1:12" s="4" customFormat="1">
      <c r="A47" s="37" t="s">
        <v>761</v>
      </c>
      <c r="B47" s="37"/>
      <c r="C47" s="92" t="s">
        <v>762</v>
      </c>
      <c r="D47" s="37"/>
      <c r="E47" s="39">
        <v>30000</v>
      </c>
      <c r="F47" s="39">
        <v>0</v>
      </c>
      <c r="G47" s="46">
        <v>26488.99</v>
      </c>
      <c r="H47" s="30">
        <f>(G47/11)*12</f>
        <v>28897.08</v>
      </c>
      <c r="I47" s="39">
        <v>30000</v>
      </c>
      <c r="J47" s="37" t="s">
        <v>6</v>
      </c>
      <c r="K47" s="33"/>
    </row>
    <row r="48" spans="1:12" s="4" customFormat="1">
      <c r="A48" s="37" t="s">
        <v>1053</v>
      </c>
      <c r="B48" s="37"/>
      <c r="C48" s="92" t="s">
        <v>250</v>
      </c>
      <c r="D48" s="37"/>
      <c r="E48" s="39">
        <v>0</v>
      </c>
      <c r="F48" s="39">
        <v>0</v>
      </c>
      <c r="G48" s="46">
        <v>0</v>
      </c>
      <c r="H48" s="47">
        <v>0</v>
      </c>
      <c r="I48" s="39"/>
      <c r="J48" s="37"/>
      <c r="K48" s="33"/>
    </row>
    <row r="49" spans="1:12">
      <c r="A49" s="19" t="s">
        <v>763</v>
      </c>
      <c r="B49" s="19"/>
      <c r="C49" s="91" t="s">
        <v>572</v>
      </c>
      <c r="D49" s="19"/>
      <c r="E49" s="11">
        <v>3500</v>
      </c>
      <c r="F49" s="11">
        <v>0</v>
      </c>
      <c r="G49" s="45">
        <v>3634.72</v>
      </c>
      <c r="H49" s="30">
        <f>(G49/11)*12</f>
        <v>3965.1490909090908</v>
      </c>
      <c r="I49" s="11">
        <v>3500</v>
      </c>
      <c r="J49" s="19" t="s">
        <v>6</v>
      </c>
      <c r="L49"/>
    </row>
    <row r="50" spans="1:12">
      <c r="A50" s="19" t="s">
        <v>764</v>
      </c>
      <c r="B50" s="19"/>
      <c r="C50" s="91" t="s">
        <v>245</v>
      </c>
      <c r="D50" s="19"/>
      <c r="E50" s="11">
        <v>7500</v>
      </c>
      <c r="F50" s="11">
        <v>0</v>
      </c>
      <c r="G50" s="45">
        <v>4500</v>
      </c>
      <c r="H50" s="30">
        <f>(G50/11)*12</f>
        <v>4909.090909090909</v>
      </c>
      <c r="I50" s="11">
        <v>5000</v>
      </c>
      <c r="J50" s="19"/>
      <c r="L50"/>
    </row>
    <row r="51" spans="1:12">
      <c r="A51" s="19" t="s">
        <v>765</v>
      </c>
      <c r="B51" s="19"/>
      <c r="C51" s="91" t="s">
        <v>249</v>
      </c>
      <c r="D51" s="19"/>
      <c r="E51" s="11">
        <v>43532</v>
      </c>
      <c r="F51" s="11">
        <v>0</v>
      </c>
      <c r="G51" s="45">
        <v>30830.02</v>
      </c>
      <c r="H51" s="30">
        <f>(G51/11)*12</f>
        <v>33632.749090909092</v>
      </c>
      <c r="I51" s="11">
        <v>43532</v>
      </c>
      <c r="J51" s="19"/>
      <c r="L51"/>
    </row>
    <row r="52" spans="1:12">
      <c r="A52" s="19" t="s">
        <v>766</v>
      </c>
      <c r="B52" s="19"/>
      <c r="C52" s="91" t="s">
        <v>241</v>
      </c>
      <c r="D52" s="19"/>
      <c r="E52" s="11">
        <v>1000</v>
      </c>
      <c r="F52" s="11">
        <v>0</v>
      </c>
      <c r="G52" s="45">
        <v>255.64</v>
      </c>
      <c r="H52" s="30">
        <f>(G52/11)*12</f>
        <v>278.88</v>
      </c>
      <c r="I52" s="11">
        <v>0</v>
      </c>
      <c r="J52" s="19" t="s">
        <v>6</v>
      </c>
      <c r="L52"/>
    </row>
    <row r="53" spans="1:12">
      <c r="A53" s="19" t="s">
        <v>767</v>
      </c>
      <c r="B53" s="19"/>
      <c r="C53" s="91" t="s">
        <v>574</v>
      </c>
      <c r="D53" s="19"/>
      <c r="E53" s="11">
        <v>8418</v>
      </c>
      <c r="F53" s="11">
        <v>0</v>
      </c>
      <c r="G53" s="45">
        <v>8363.27</v>
      </c>
      <c r="H53" s="30">
        <f>(G53/11)*12</f>
        <v>9123.567272727274</v>
      </c>
      <c r="I53" s="11">
        <v>9000</v>
      </c>
      <c r="J53" s="19" t="s">
        <v>6</v>
      </c>
      <c r="L53"/>
    </row>
    <row r="54" spans="1:12" s="3" customFormat="1" ht="15.75" thickBot="1">
      <c r="A54" s="9"/>
      <c r="B54" s="9"/>
      <c r="C54" s="9" t="s">
        <v>955</v>
      </c>
      <c r="D54" s="9"/>
      <c r="E54" s="35">
        <f t="shared" ref="E54:I54" si="6">SUM(E44:E53)</f>
        <v>173950</v>
      </c>
      <c r="F54" s="35">
        <f t="shared" si="6"/>
        <v>0</v>
      </c>
      <c r="G54" s="35">
        <f t="shared" si="6"/>
        <v>133149.39000000001</v>
      </c>
      <c r="H54" s="35">
        <f t="shared" si="6"/>
        <v>145253.88</v>
      </c>
      <c r="I54" s="35">
        <f t="shared" si="6"/>
        <v>171032</v>
      </c>
      <c r="J54" s="9"/>
      <c r="K54" s="18"/>
    </row>
    <row r="55" spans="1:12" ht="15.75" thickTop="1"/>
    <row r="56" spans="1:12">
      <c r="C56" s="18" t="s">
        <v>889</v>
      </c>
    </row>
    <row r="57" spans="1:12" s="4" customFormat="1">
      <c r="A57" s="37" t="s">
        <v>768</v>
      </c>
      <c r="B57" s="37"/>
      <c r="C57" s="92" t="s">
        <v>769</v>
      </c>
      <c r="D57" s="37"/>
      <c r="E57" s="39">
        <v>25000</v>
      </c>
      <c r="F57" s="39">
        <v>0</v>
      </c>
      <c r="G57" s="46">
        <v>15725.95</v>
      </c>
      <c r="H57" s="30">
        <f>(G57/11)*12</f>
        <v>17155.581818181818</v>
      </c>
      <c r="I57" s="39">
        <v>25000</v>
      </c>
      <c r="J57" s="33"/>
      <c r="K57" s="33"/>
    </row>
    <row r="58" spans="1:12">
      <c r="A58" s="19" t="s">
        <v>578</v>
      </c>
      <c r="B58" s="19"/>
      <c r="C58" s="91" t="s">
        <v>770</v>
      </c>
      <c r="D58" s="19"/>
      <c r="E58" s="11">
        <v>750</v>
      </c>
      <c r="F58" s="11">
        <v>0</v>
      </c>
      <c r="G58" s="45">
        <v>526.11</v>
      </c>
      <c r="H58" s="30">
        <f>(G58/11)*12</f>
        <v>573.93818181818187</v>
      </c>
      <c r="I58" s="11">
        <v>500</v>
      </c>
      <c r="J58" s="29" t="s">
        <v>6</v>
      </c>
      <c r="L58"/>
    </row>
    <row r="59" spans="1:12">
      <c r="A59" s="19" t="s">
        <v>583</v>
      </c>
      <c r="B59" s="19"/>
      <c r="C59" s="91" t="s">
        <v>279</v>
      </c>
      <c r="D59" s="19"/>
      <c r="E59" s="11">
        <v>10000</v>
      </c>
      <c r="F59" s="11">
        <v>0</v>
      </c>
      <c r="G59" s="45">
        <v>11960.53</v>
      </c>
      <c r="H59" s="30">
        <f>(G59/11)*12</f>
        <v>13047.85090909091</v>
      </c>
      <c r="I59" s="11">
        <v>12500</v>
      </c>
      <c r="J59" s="29"/>
      <c r="L59"/>
    </row>
    <row r="60" spans="1:12" s="3" customFormat="1" ht="15.75" thickBot="1">
      <c r="A60" s="121"/>
      <c r="B60" s="9"/>
      <c r="C60" s="9" t="s">
        <v>956</v>
      </c>
      <c r="D60" s="9"/>
      <c r="E60" s="35">
        <f t="shared" ref="E60:I60" si="7">SUM(E57:E59)</f>
        <v>35750</v>
      </c>
      <c r="F60" s="35">
        <f t="shared" si="7"/>
        <v>0</v>
      </c>
      <c r="G60" s="35">
        <f t="shared" si="7"/>
        <v>28212.590000000004</v>
      </c>
      <c r="H60" s="35">
        <f t="shared" si="7"/>
        <v>30777.370909090911</v>
      </c>
      <c r="I60" s="35">
        <f t="shared" si="7"/>
        <v>38000</v>
      </c>
      <c r="J60" s="18"/>
      <c r="K60" s="18"/>
    </row>
    <row r="61" spans="1:12" ht="15.75" thickTop="1">
      <c r="J61" s="29"/>
      <c r="L61"/>
    </row>
    <row r="62" spans="1:12">
      <c r="C62" s="18" t="s">
        <v>897</v>
      </c>
      <c r="J62" s="29"/>
      <c r="L62"/>
    </row>
    <row r="63" spans="1:12" s="4" customFormat="1">
      <c r="A63" s="37" t="s">
        <v>771</v>
      </c>
      <c r="B63" s="37"/>
      <c r="C63" s="92" t="s">
        <v>772</v>
      </c>
      <c r="D63" s="37"/>
      <c r="E63" s="39">
        <v>20000</v>
      </c>
      <c r="F63" s="39">
        <v>0</v>
      </c>
      <c r="G63" s="46">
        <v>52413.4</v>
      </c>
      <c r="H63" s="30">
        <f>(G63/11)*12</f>
        <v>57178.254545454547</v>
      </c>
      <c r="I63" s="39">
        <v>50000</v>
      </c>
      <c r="J63" s="33"/>
      <c r="K63" s="33"/>
    </row>
    <row r="64" spans="1:12">
      <c r="A64" s="19" t="s">
        <v>773</v>
      </c>
      <c r="B64" s="19"/>
      <c r="C64" s="91" t="s">
        <v>654</v>
      </c>
      <c r="D64" s="19"/>
      <c r="E64" s="11">
        <v>0</v>
      </c>
      <c r="F64" s="11">
        <v>0</v>
      </c>
      <c r="G64" s="45">
        <v>0</v>
      </c>
      <c r="H64" s="30">
        <f>(G64/11)*12</f>
        <v>0</v>
      </c>
      <c r="I64" s="11">
        <v>0</v>
      </c>
      <c r="J64" s="29" t="s">
        <v>6</v>
      </c>
      <c r="L64"/>
    </row>
    <row r="65" spans="1:12" s="4" customFormat="1">
      <c r="A65" s="37" t="s">
        <v>774</v>
      </c>
      <c r="B65" s="37"/>
      <c r="C65" s="92" t="s">
        <v>775</v>
      </c>
      <c r="D65" s="37"/>
      <c r="E65" s="39">
        <v>25000</v>
      </c>
      <c r="F65" s="39">
        <v>0</v>
      </c>
      <c r="G65" s="46">
        <v>17638.5</v>
      </c>
      <c r="H65" s="46">
        <v>12923.7</v>
      </c>
      <c r="I65" s="39">
        <v>12500</v>
      </c>
      <c r="J65" s="33"/>
      <c r="K65" s="33"/>
    </row>
    <row r="66" spans="1:12" s="3" customFormat="1" ht="15.75" thickBot="1">
      <c r="A66" s="121"/>
      <c r="B66" s="9"/>
      <c r="C66" s="9" t="s">
        <v>961</v>
      </c>
      <c r="D66" s="9"/>
      <c r="E66" s="35">
        <f t="shared" ref="E66:I66" si="8">SUM(E63:E65)</f>
        <v>45000</v>
      </c>
      <c r="F66" s="35">
        <f t="shared" si="8"/>
        <v>0</v>
      </c>
      <c r="G66" s="35">
        <f t="shared" si="8"/>
        <v>70051.899999999994</v>
      </c>
      <c r="H66" s="35">
        <f t="shared" si="8"/>
        <v>70101.954545454544</v>
      </c>
      <c r="I66" s="35">
        <f t="shared" si="8"/>
        <v>62500</v>
      </c>
      <c r="J66" s="18"/>
      <c r="K66" s="18"/>
    </row>
    <row r="67" spans="1:12" ht="15.75" thickTop="1">
      <c r="A67" s="28"/>
      <c r="B67" s="19"/>
      <c r="C67" s="19"/>
      <c r="D67" s="19"/>
      <c r="E67" s="13"/>
      <c r="F67" s="13"/>
      <c r="G67" s="13"/>
      <c r="H67" s="13"/>
      <c r="I67" s="13"/>
      <c r="J67" s="13"/>
    </row>
    <row r="68" spans="1:12">
      <c r="C68" s="18" t="s">
        <v>11</v>
      </c>
    </row>
    <row r="69" spans="1:12">
      <c r="A69" s="19" t="s">
        <v>776</v>
      </c>
      <c r="B69" s="19"/>
      <c r="C69" s="91" t="s">
        <v>11</v>
      </c>
      <c r="D69" s="19"/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29"/>
      <c r="L69"/>
    </row>
    <row r="70" spans="1:12" s="4" customFormat="1">
      <c r="A70" s="37" t="s">
        <v>777</v>
      </c>
      <c r="B70" s="37"/>
      <c r="C70" s="92" t="s">
        <v>778</v>
      </c>
      <c r="D70" s="37"/>
      <c r="E70" s="39">
        <v>34884</v>
      </c>
      <c r="F70" s="39">
        <v>0</v>
      </c>
      <c r="G70" s="39">
        <v>9297.02</v>
      </c>
      <c r="H70" s="39">
        <v>26162.82</v>
      </c>
      <c r="I70" s="39">
        <v>26163</v>
      </c>
      <c r="J70" s="33"/>
      <c r="K70" s="33"/>
    </row>
    <row r="71" spans="1:12" s="3" customFormat="1" ht="15.75" thickBot="1">
      <c r="A71" s="121"/>
      <c r="B71" s="9"/>
      <c r="C71" s="9" t="s">
        <v>995</v>
      </c>
      <c r="D71" s="9"/>
      <c r="E71" s="35">
        <f t="shared" ref="E71:I71" si="9">SUM(E69:E70)</f>
        <v>34884</v>
      </c>
      <c r="F71" s="35">
        <f t="shared" si="9"/>
        <v>0</v>
      </c>
      <c r="G71" s="35">
        <f t="shared" si="9"/>
        <v>9297.02</v>
      </c>
      <c r="H71" s="35">
        <f t="shared" si="9"/>
        <v>26162.82</v>
      </c>
      <c r="I71" s="35">
        <f t="shared" si="9"/>
        <v>26163</v>
      </c>
      <c r="J71" s="18"/>
      <c r="K71" s="18"/>
    </row>
    <row r="72" spans="1:12" ht="15.75" thickTop="1">
      <c r="A72" s="28"/>
      <c r="B72" s="19"/>
      <c r="C72" s="19"/>
      <c r="D72" s="19"/>
      <c r="E72" s="13"/>
      <c r="F72" s="13"/>
      <c r="G72" s="13"/>
      <c r="H72" s="13"/>
      <c r="I72" s="13"/>
      <c r="J72" s="29"/>
      <c r="L72"/>
    </row>
    <row r="73" spans="1:12">
      <c r="C73" s="18" t="s">
        <v>888</v>
      </c>
      <c r="J73" s="29"/>
      <c r="L73"/>
    </row>
    <row r="74" spans="1:12" s="4" customFormat="1">
      <c r="A74" s="37" t="s">
        <v>634</v>
      </c>
      <c r="B74" s="37"/>
      <c r="C74" s="92" t="s">
        <v>1093</v>
      </c>
      <c r="D74" s="37"/>
      <c r="E74" s="39">
        <v>0</v>
      </c>
      <c r="F74" s="39">
        <v>0</v>
      </c>
      <c r="G74" s="39">
        <v>2930.31</v>
      </c>
      <c r="H74" s="39">
        <v>37162</v>
      </c>
      <c r="I74" s="39">
        <v>0</v>
      </c>
      <c r="J74" s="33"/>
      <c r="K74" s="33"/>
    </row>
    <row r="75" spans="1:12" s="3" customFormat="1" ht="15.75" thickBot="1">
      <c r="A75" s="121"/>
      <c r="B75" s="9"/>
      <c r="C75" s="9" t="s">
        <v>966</v>
      </c>
      <c r="D75" s="9"/>
      <c r="E75" s="35">
        <f t="shared" ref="E75:I75" si="10">SUM(E74:E74)</f>
        <v>0</v>
      </c>
      <c r="F75" s="35">
        <f t="shared" si="10"/>
        <v>0</v>
      </c>
      <c r="G75" s="35">
        <f t="shared" si="10"/>
        <v>2930.31</v>
      </c>
      <c r="H75" s="35">
        <f t="shared" si="10"/>
        <v>37162</v>
      </c>
      <c r="I75" s="35">
        <f t="shared" si="10"/>
        <v>0</v>
      </c>
      <c r="J75" s="18"/>
      <c r="K75" s="18"/>
    </row>
    <row r="76" spans="1:12" ht="15.75" thickTop="1">
      <c r="J76" s="29"/>
      <c r="L76"/>
    </row>
    <row r="77" spans="1:12" s="3" customFormat="1" ht="15.75" thickBot="1">
      <c r="A77" s="18" t="s">
        <v>1074</v>
      </c>
      <c r="B77" s="18"/>
      <c r="C77" s="18"/>
      <c r="D77" s="18"/>
      <c r="E77" s="36">
        <f>E37+E41+E54+E60+E66+E71+E75</f>
        <v>551797</v>
      </c>
      <c r="F77" s="36">
        <f t="shared" ref="F77:I77" si="11">F37+F41+F54+F60+F66+F71+F75</f>
        <v>0</v>
      </c>
      <c r="G77" s="36">
        <f t="shared" si="11"/>
        <v>485925.08</v>
      </c>
      <c r="H77" s="36">
        <f t="shared" si="11"/>
        <v>558768.60035090917</v>
      </c>
      <c r="I77" s="36">
        <f t="shared" si="11"/>
        <v>548667.75</v>
      </c>
      <c r="J77" s="18"/>
      <c r="K77" s="18"/>
    </row>
    <row r="78" spans="1:12" ht="15.75" thickTop="1"/>
  </sheetData>
  <mergeCells count="3">
    <mergeCell ref="A1:G1"/>
    <mergeCell ref="A6:F6"/>
    <mergeCell ref="A23:I23"/>
  </mergeCells>
  <printOptions horizontalCentered="1"/>
  <pageMargins left="0.7" right="0.7" top="0.75" bottom="0.75" header="0.3" footer="0.3"/>
  <pageSetup scale="72" fitToHeight="0" orientation="landscape" r:id="rId1"/>
  <headerFooter>
    <oddFooter>&amp;L&amp;D&amp;CWorksheet
Page &amp;P&amp;R&amp;T</oddFooter>
  </headerFooter>
  <rowBreaks count="2" manualBreakCount="2">
    <brk id="22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 Summary - General Fund</vt:lpstr>
      <vt:lpstr>Worksheet - General Fund (010)</vt:lpstr>
      <vt:lpstr>Summary - PS Bldg Fund (040)</vt:lpstr>
      <vt:lpstr>Summary - Water Fund</vt:lpstr>
      <vt:lpstr>Worksheet - Water Fund (020)</vt:lpstr>
      <vt:lpstr>Summary - Sewer Fund</vt:lpstr>
      <vt:lpstr>Worksheet - Sewer Fund (021)</vt:lpstr>
      <vt:lpstr>Summary - Garbage Fund</vt:lpstr>
      <vt:lpstr>Worksheet - Garbage Fund (022)</vt:lpstr>
      <vt:lpstr>Summary - Cap Impr Fund</vt:lpstr>
      <vt:lpstr>Worksheet - Cap Impr Fund (030)</vt:lpstr>
      <vt:lpstr>Summary - Cons Trust Fund</vt:lpstr>
      <vt:lpstr>Worksheet - Cons Trust Fu (080)</vt:lpstr>
      <vt:lpstr>Summary - Grand Theater</vt:lpstr>
      <vt:lpstr>Worksheet - Grant Theater (070)</vt:lpstr>
      <vt:lpstr>Community Development (110)</vt:lpstr>
      <vt:lpstr>' Summary - General Fund'!Print_Titles</vt:lpstr>
      <vt:lpstr>'Summary - Cap Impr Fund'!Print_Titles</vt:lpstr>
      <vt:lpstr>'Summary - Water Fund'!Print_Titles</vt:lpstr>
      <vt:lpstr>'Worksheet - Garbage Fund (022)'!Print_Titles</vt:lpstr>
      <vt:lpstr>'Worksheet - General Fund (010)'!Print_Titles</vt:lpstr>
      <vt:lpstr>'Worksheet - Sewer Fund (021)'!Print_Titles</vt:lpstr>
      <vt:lpstr>'Worksheet - Water Fund (020)'!Print_Titles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G. Rabe</dc:creator>
  <cp:lastModifiedBy>Shannon Wallace</cp:lastModifiedBy>
  <cp:lastPrinted>2020-01-16T20:30:00Z</cp:lastPrinted>
  <dcterms:created xsi:type="dcterms:W3CDTF">2015-09-24T16:42:04Z</dcterms:created>
  <dcterms:modified xsi:type="dcterms:W3CDTF">2020-01-31T17:50:42Z</dcterms:modified>
</cp:coreProperties>
</file>